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nforegister-my.sharepoint.com/personal/marie_rosin_ir_ee/Documents/Desktop/"/>
    </mc:Choice>
  </mc:AlternateContent>
  <xr:revisionPtr revIDLastSave="6" documentId="14_{3C139E80-5D04-4368-B567-16AFD6BA2FE3}" xr6:coauthVersionLast="47" xr6:coauthVersionMax="47" xr10:uidLastSave="{FD7BD275-F8ED-4442-853B-EAD0C0E73102}"/>
  <bookViews>
    <workbookView xWindow="40875" yWindow="360" windowWidth="35775" windowHeight="20490" xr2:uid="{00000000-000D-0000-FFFF-FFFF00000000}"/>
  </bookViews>
  <sheets>
    <sheet name="Firmad" sheetId="1" r:id="rId1"/>
  </sheets>
  <definedNames>
    <definedName name="_xlnm._FilterDatabase" localSheetId="0" hidden="1">Firmad!$A$1:$AL$35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5" i="1" l="1"/>
  <c r="AH35" i="1"/>
  <c r="AA35" i="1"/>
  <c r="Y35" i="1"/>
  <c r="M35" i="1"/>
  <c r="I35" i="1"/>
  <c r="F35" i="1"/>
  <c r="AL34" i="1"/>
  <c r="AH34" i="1"/>
  <c r="AA34" i="1"/>
  <c r="Y34" i="1"/>
  <c r="M34" i="1"/>
  <c r="I34" i="1"/>
  <c r="F34" i="1"/>
  <c r="AL33" i="1"/>
  <c r="AH33" i="1"/>
  <c r="AA33" i="1"/>
  <c r="Y33" i="1"/>
  <c r="M33" i="1"/>
  <c r="I33" i="1"/>
  <c r="F33" i="1"/>
  <c r="AL32" i="1"/>
  <c r="AH32" i="1"/>
  <c r="AA32" i="1"/>
  <c r="Y32" i="1"/>
  <c r="M32" i="1"/>
  <c r="I32" i="1"/>
  <c r="F32" i="1"/>
  <c r="AL31" i="1"/>
  <c r="AH31" i="1"/>
  <c r="AA31" i="1"/>
  <c r="Y31" i="1"/>
  <c r="M31" i="1"/>
  <c r="I31" i="1"/>
  <c r="F31" i="1"/>
  <c r="AL30" i="1"/>
  <c r="AH30" i="1"/>
  <c r="AA30" i="1"/>
  <c r="Y30" i="1"/>
  <c r="M30" i="1"/>
  <c r="I30" i="1"/>
  <c r="F30" i="1"/>
  <c r="AL29" i="1"/>
  <c r="AH29" i="1"/>
  <c r="AA29" i="1"/>
  <c r="Y29" i="1"/>
  <c r="M29" i="1"/>
  <c r="I29" i="1"/>
  <c r="F29" i="1"/>
  <c r="AL28" i="1"/>
  <c r="AH28" i="1"/>
  <c r="AA28" i="1"/>
  <c r="Y28" i="1"/>
  <c r="M28" i="1"/>
  <c r="I28" i="1"/>
  <c r="F28" i="1"/>
  <c r="AL27" i="1"/>
  <c r="AH27" i="1"/>
  <c r="AA27" i="1"/>
  <c r="Y27" i="1"/>
  <c r="M27" i="1"/>
  <c r="I27" i="1"/>
  <c r="F27" i="1"/>
  <c r="AL26" i="1"/>
  <c r="AH26" i="1"/>
  <c r="AA26" i="1"/>
  <c r="Y26" i="1"/>
  <c r="M26" i="1"/>
  <c r="I26" i="1"/>
  <c r="F26" i="1"/>
  <c r="AL25" i="1"/>
  <c r="AH25" i="1"/>
  <c r="AA25" i="1"/>
  <c r="Y25" i="1"/>
  <c r="M25" i="1"/>
  <c r="I25" i="1"/>
  <c r="F25" i="1"/>
  <c r="AL24" i="1"/>
  <c r="AH24" i="1"/>
  <c r="AA24" i="1"/>
  <c r="Y24" i="1"/>
  <c r="M24" i="1"/>
  <c r="I24" i="1"/>
  <c r="F24" i="1"/>
  <c r="AL23" i="1"/>
  <c r="AH23" i="1"/>
  <c r="AA23" i="1"/>
  <c r="Y23" i="1"/>
  <c r="M23" i="1"/>
  <c r="I23" i="1"/>
  <c r="F23" i="1"/>
  <c r="AL22" i="1"/>
  <c r="AH22" i="1"/>
  <c r="AA22" i="1"/>
  <c r="Y22" i="1"/>
  <c r="M22" i="1"/>
  <c r="I22" i="1"/>
  <c r="F22" i="1"/>
  <c r="AL21" i="1"/>
  <c r="AH21" i="1"/>
  <c r="AA21" i="1"/>
  <c r="Y21" i="1"/>
  <c r="M21" i="1"/>
  <c r="I21" i="1"/>
  <c r="F21" i="1"/>
  <c r="AL20" i="1"/>
  <c r="AH20" i="1"/>
  <c r="AA20" i="1"/>
  <c r="Y20" i="1"/>
  <c r="M20" i="1"/>
  <c r="I20" i="1"/>
  <c r="F20" i="1"/>
  <c r="AL19" i="1"/>
  <c r="AH19" i="1"/>
  <c r="AA19" i="1"/>
  <c r="Y19" i="1"/>
  <c r="M19" i="1"/>
  <c r="I19" i="1"/>
  <c r="F19" i="1"/>
  <c r="AL18" i="1"/>
  <c r="AH18" i="1"/>
  <c r="AA18" i="1"/>
  <c r="Y18" i="1"/>
  <c r="M18" i="1"/>
  <c r="I18" i="1"/>
  <c r="F18" i="1"/>
  <c r="AL17" i="1"/>
  <c r="AH17" i="1"/>
  <c r="AA17" i="1"/>
  <c r="Y17" i="1"/>
  <c r="M17" i="1"/>
  <c r="I17" i="1"/>
  <c r="F17" i="1"/>
  <c r="AL16" i="1"/>
  <c r="AH16" i="1"/>
  <c r="AA16" i="1"/>
  <c r="Y16" i="1"/>
  <c r="M16" i="1"/>
  <c r="I16" i="1"/>
  <c r="F16" i="1"/>
  <c r="AL15" i="1"/>
  <c r="AH15" i="1"/>
  <c r="AA15" i="1"/>
  <c r="Y15" i="1"/>
  <c r="M15" i="1"/>
  <c r="I15" i="1"/>
  <c r="F15" i="1"/>
  <c r="AL14" i="1"/>
  <c r="AH14" i="1"/>
  <c r="AA14" i="1"/>
  <c r="Y14" i="1"/>
  <c r="M14" i="1"/>
  <c r="I14" i="1"/>
  <c r="F14" i="1"/>
  <c r="AL13" i="1"/>
  <c r="AH13" i="1"/>
  <c r="AA13" i="1"/>
  <c r="Y13" i="1"/>
  <c r="M13" i="1"/>
  <c r="I13" i="1"/>
  <c r="F13" i="1"/>
  <c r="AL12" i="1"/>
  <c r="AH12" i="1"/>
  <c r="AA12" i="1"/>
  <c r="Y12" i="1"/>
  <c r="M12" i="1"/>
  <c r="I12" i="1"/>
  <c r="F12" i="1"/>
  <c r="AL11" i="1"/>
  <c r="AH11" i="1"/>
  <c r="AA11" i="1"/>
  <c r="Y11" i="1"/>
  <c r="M11" i="1"/>
  <c r="I11" i="1"/>
  <c r="F11" i="1"/>
  <c r="AL10" i="1"/>
  <c r="AH10" i="1"/>
  <c r="AA10" i="1"/>
  <c r="Y10" i="1"/>
  <c r="M10" i="1"/>
  <c r="I10" i="1"/>
  <c r="F10" i="1"/>
  <c r="AL9" i="1"/>
  <c r="AH9" i="1"/>
  <c r="AA9" i="1"/>
  <c r="Y9" i="1"/>
  <c r="M9" i="1"/>
  <c r="I9" i="1"/>
  <c r="F9" i="1"/>
  <c r="AL8" i="1"/>
  <c r="AH8" i="1"/>
  <c r="AA8" i="1"/>
  <c r="Y8" i="1"/>
  <c r="M8" i="1"/>
  <c r="I8" i="1"/>
  <c r="F8" i="1"/>
  <c r="AL7" i="1"/>
  <c r="AH7" i="1"/>
  <c r="AA7" i="1"/>
  <c r="Y7" i="1"/>
  <c r="M7" i="1"/>
  <c r="I7" i="1"/>
  <c r="F7" i="1"/>
  <c r="AL6" i="1"/>
  <c r="AH6" i="1"/>
  <c r="AA6" i="1"/>
  <c r="Y6" i="1"/>
  <c r="M6" i="1"/>
  <c r="I6" i="1"/>
  <c r="F6" i="1"/>
  <c r="AL5" i="1"/>
  <c r="AH5" i="1"/>
  <c r="AA5" i="1"/>
  <c r="Y5" i="1"/>
  <c r="M5" i="1"/>
  <c r="I5" i="1"/>
  <c r="F5" i="1"/>
  <c r="AL4" i="1"/>
  <c r="AH4" i="1"/>
  <c r="AA4" i="1"/>
  <c r="Y4" i="1"/>
  <c r="M4" i="1"/>
  <c r="I4" i="1"/>
  <c r="F4" i="1"/>
  <c r="AL3" i="1"/>
  <c r="AH3" i="1"/>
  <c r="AA3" i="1"/>
  <c r="Y3" i="1"/>
  <c r="M3" i="1"/>
  <c r="I3" i="1"/>
  <c r="F3" i="1"/>
  <c r="AL2" i="1"/>
  <c r="AH2" i="1"/>
  <c r="AA2" i="1"/>
  <c r="Y2" i="1"/>
  <c r="M2" i="1"/>
  <c r="I2" i="1"/>
  <c r="F2" i="1"/>
</calcChain>
</file>

<file path=xl/sharedStrings.xml><?xml version="1.0" encoding="utf-8"?>
<sst xmlns="http://schemas.openxmlformats.org/spreadsheetml/2006/main" count="627" uniqueCount="321">
  <si>
    <t>Registrikood</t>
  </si>
  <si>
    <t>Firma nimi</t>
  </si>
  <si>
    <t>Registreerimise kuupäev</t>
  </si>
  <si>
    <t>Staatus</t>
  </si>
  <si>
    <t>Aadress</t>
  </si>
  <si>
    <t>Otsustajad ja kasusaajad</t>
  </si>
  <si>
    <t>Email</t>
  </si>
  <si>
    <t>Telefon</t>
  </si>
  <si>
    <t>Veeb</t>
  </si>
  <si>
    <t>Sektor</t>
  </si>
  <si>
    <t>EMTAK</t>
  </si>
  <si>
    <t>EMTAK lühikirjeldus</t>
  </si>
  <si>
    <t>Meedia, tooted  ja teenused</t>
  </si>
  <si>
    <t>KMKR nr</t>
  </si>
  <si>
    <t>KMKR algus</t>
  </si>
  <si>
    <t>KMKR lõpp</t>
  </si>
  <si>
    <t>Krediidilimiit (soovituslik)</t>
  </si>
  <si>
    <t>Viimane aasta aruanne</t>
  </si>
  <si>
    <t>Maksuvõlg (€)</t>
  </si>
  <si>
    <t>Maksuvõla algus kpv</t>
  </si>
  <si>
    <t>Eravõlad (€)</t>
  </si>
  <si>
    <t>Krediidiskoor</t>
  </si>
  <si>
    <t>Riskiklassi kirjeldus</t>
  </si>
  <si>
    <t>Krediidipoliitika</t>
  </si>
  <si>
    <t>Kohustused ja võlad</t>
  </si>
  <si>
    <t>Maineskoor</t>
  </si>
  <si>
    <t>Finantsid ja varad</t>
  </si>
  <si>
    <t>Riiklikud maksud (€)</t>
  </si>
  <si>
    <t>Tööjõumaksud (€)</t>
  </si>
  <si>
    <t>Käive (€)</t>
  </si>
  <si>
    <t>Töötajate arv</t>
  </si>
  <si>
    <t>Prognooskäive (€)</t>
  </si>
  <si>
    <t>Keskmine palk (€)</t>
  </si>
  <si>
    <t>Töötajad, palgad, kontaktid</t>
  </si>
  <si>
    <t>Juhatuse liikme nimi</t>
  </si>
  <si>
    <t>Juhatuse liikme kaalutud krediidiskoor</t>
  </si>
  <si>
    <t>Juhatuse liikme äririski klass</t>
  </si>
  <si>
    <t>Juhatuse liikme CV URL</t>
  </si>
  <si>
    <t>ASULA OÜ</t>
  </si>
  <si>
    <t>Registrisse kantud</t>
  </si>
  <si>
    <t>Hõbekuuse, 76305, Kernu küla, Saue vald, Harju maakond, Eesti Vabariik</t>
  </si>
  <si>
    <t>info@asula.ee</t>
  </si>
  <si>
    <t>5130191</t>
  </si>
  <si>
    <t>G</t>
  </si>
  <si>
    <t>47991</t>
  </si>
  <si>
    <t>Muu jaemüük</t>
  </si>
  <si>
    <t>EE101031020</t>
  </si>
  <si>
    <t>-</t>
  </si>
  <si>
    <t>Usaldusväärne</t>
  </si>
  <si>
    <t>Müü tavatingimustel</t>
  </si>
  <si>
    <t>Rain Saar</t>
  </si>
  <si>
    <t>Neutraalne</t>
  </si>
  <si>
    <t>HURTIGRUTEN ESTONIA OÜ</t>
  </si>
  <si>
    <t>Narva mnt 63/3, 10120, Tallinn linn, Harju maakond, Eesti Vabariik</t>
  </si>
  <si>
    <t>Tiivi.Kukk@hurtigruten.com</t>
  </si>
  <si>
    <t>56213002, 6848074, 51927094</t>
  </si>
  <si>
    <t>N</t>
  </si>
  <si>
    <t>79901</t>
  </si>
  <si>
    <t>Reisimisega seotud tegevused</t>
  </si>
  <si>
    <t>EE101414249</t>
  </si>
  <si>
    <t>Torleif Ernstsen</t>
  </si>
  <si>
    <t>Tartu Linnavalitsus</t>
  </si>
  <si>
    <t>Raekoja plats 1a, 50089, Tartu linn, Tartu linn, Tartu maakond, Eesti Vabariik</t>
  </si>
  <si>
    <t>lv@raad.tartu.ee</t>
  </si>
  <si>
    <t>7361101</t>
  </si>
  <si>
    <t>O</t>
  </si>
  <si>
    <t>84114</t>
  </si>
  <si>
    <t>Valla- ja linnavalitsuste tegevus</t>
  </si>
  <si>
    <t>EE100670291</t>
  </si>
  <si>
    <t>Urmas Klaas</t>
  </si>
  <si>
    <t>SIVEX INTERNATIONAL OÜ</t>
  </si>
  <si>
    <t>Paide mnt 9, 80042, Pärnu linn, Pärnu maakond, Eesti Vabariik</t>
  </si>
  <si>
    <t>sivex@sivex.ee</t>
  </si>
  <si>
    <t>4437967, 4459930</t>
  </si>
  <si>
    <t>H</t>
  </si>
  <si>
    <t>52101</t>
  </si>
  <si>
    <t>Kaubaladude töö</t>
  </si>
  <si>
    <t>EE100140284</t>
  </si>
  <si>
    <t>Victor Novokreshchenov</t>
  </si>
  <si>
    <t>BETOONISEPAD OÜ</t>
  </si>
  <si>
    <t>Kivikalme tee 5, 75321, Kopli küla, Rae vald, Harju maakond, Eesti Vabariik</t>
  </si>
  <si>
    <t>info@betoonisepad.com, ley.jaanberg@mail.ee</t>
  </si>
  <si>
    <t>56659771</t>
  </si>
  <si>
    <t>F</t>
  </si>
  <si>
    <t>42111</t>
  </si>
  <si>
    <t>Teede ehitus</t>
  </si>
  <si>
    <t>EE101050674</t>
  </si>
  <si>
    <t>Ley Jaanberg</t>
  </si>
  <si>
    <t>SANGAR KINNISVARA OÜ</t>
  </si>
  <si>
    <t>Tartu linn, Sõpruse pst 2/1, 50050, Tartu linn, Tartu maakond, Eesti Vabariik</t>
  </si>
  <si>
    <t>vahur.nikopensius@sangar.ee</t>
  </si>
  <si>
    <t>5104525</t>
  </si>
  <si>
    <t>L</t>
  </si>
  <si>
    <t>68201</t>
  </si>
  <si>
    <t>Kinnisvara rentimine</t>
  </si>
  <si>
    <t>EE102289813</t>
  </si>
  <si>
    <t>Vahur Nikopensius</t>
  </si>
  <si>
    <t>Problemaatiline</t>
  </si>
  <si>
    <t>MIVAR-VIVA AS</t>
  </si>
  <si>
    <t>Lossi tn 41, 71020, Viljandi linn, Viljandi maakond, Eesti Vabariik</t>
  </si>
  <si>
    <t>juta.grossthal@mivar-viva.ee, mivar-viva@mivar-viva.ee</t>
  </si>
  <si>
    <t>4333578, 4334296</t>
  </si>
  <si>
    <t>46411</t>
  </si>
  <si>
    <t>Õmblustarvete hulgimüük</t>
  </si>
  <si>
    <t>EE100210693</t>
  </si>
  <si>
    <t>Toomas Värva</t>
  </si>
  <si>
    <t>ESKARO AS</t>
  </si>
  <si>
    <t>Fosforiidi tn 20, 74114, Maardu linn, Harju maakond, Eesti Vabariik</t>
  </si>
  <si>
    <t>eskaro@eskaro.com</t>
  </si>
  <si>
    <t>6217968, 5231622, 6217969</t>
  </si>
  <si>
    <t>4675</t>
  </si>
  <si>
    <t>Keemiatoodete hulgimüük</t>
  </si>
  <si>
    <t>EE100072255</t>
  </si>
  <si>
    <t>Olga Teor</t>
  </si>
  <si>
    <t>CHECKOUT TECHNOLOGY LTD EESTI FILIAAL FIL</t>
  </si>
  <si>
    <t>Jalgpalli tn 1, 11312, Tallinn linn, Harju maakond, Eesti Vabariik</t>
  </si>
  <si>
    <t>ott.kaukver@checkout.com</t>
  </si>
  <si>
    <t>5108629</t>
  </si>
  <si>
    <t>J</t>
  </si>
  <si>
    <t>62011</t>
  </si>
  <si>
    <t>Programmeerimine</t>
  </si>
  <si>
    <t>Jälgi ja/või  kasuta lisainfot</t>
  </si>
  <si>
    <t>OÜ Tartu Elamuhaldus</t>
  </si>
  <si>
    <t>Tartu linn, Tehase tn 19c, 50708, Tartu linn, Tartu maakond, Eesti Vabariik</t>
  </si>
  <si>
    <t>martin@elamuhaldus.ee, kaimo@eviko.ee, info@elamuhaldus.ee, teet@elamuhaldus.ee</t>
  </si>
  <si>
    <t>7307211, 7307210, 7307212</t>
  </si>
  <si>
    <t>81101</t>
  </si>
  <si>
    <t>Hoonehalduse abitegevused</t>
  </si>
  <si>
    <t>EE101271660</t>
  </si>
  <si>
    <t>Rivo Soo</t>
  </si>
  <si>
    <t>IRU HOOLDEKODU</t>
  </si>
  <si>
    <t>Hooldekodu tee 2/1, 13914, Tallinn linn, Harju maakond, Eesti Vabariik</t>
  </si>
  <si>
    <t>iru@iruhk.ee</t>
  </si>
  <si>
    <t>6062802</t>
  </si>
  <si>
    <t>Q</t>
  </si>
  <si>
    <t>87301</t>
  </si>
  <si>
    <t>Hoolekandeasutuste tegevused</t>
  </si>
  <si>
    <t>EE102401413</t>
  </si>
  <si>
    <t>Jaanika Luus</t>
  </si>
  <si>
    <t>LAPAVIRA OÜ</t>
  </si>
  <si>
    <t>Nelgi tee 12, 74001, Viimsi alevik, Viimsi vald, Harju maakond, Eesti Vabariik</t>
  </si>
  <si>
    <t>lapavira@lapavira.ee</t>
  </si>
  <si>
    <t>5077500</t>
  </si>
  <si>
    <t>A</t>
  </si>
  <si>
    <t>03221</t>
  </si>
  <si>
    <t>Magevee-vesiviljelus</t>
  </si>
  <si>
    <t>EE100881776</t>
  </si>
  <si>
    <t>Evelyn Saluste</t>
  </si>
  <si>
    <t>PROGATES OÜ</t>
  </si>
  <si>
    <t>Sõle tn 27, 10614, Tallinn linn, Harju maakond, Eesti Vabariik</t>
  </si>
  <si>
    <t>progates@hot.ee, vadim@a-tehnoulevaatus.ee</t>
  </si>
  <si>
    <t>6721888</t>
  </si>
  <si>
    <t>45321</t>
  </si>
  <si>
    <t>Mootorsõidukite lisaseadmete jaemüük</t>
  </si>
  <si>
    <t>EE100643794</t>
  </si>
  <si>
    <t>Vadim Strasch</t>
  </si>
  <si>
    <t>HORDEUM OÜ</t>
  </si>
  <si>
    <t>Tartu linn, Vallikraavi tn 4, 51003, Tartu linn, Tartu maakond, Eesti Vabariik</t>
  </si>
  <si>
    <t>kaspar.kokk@transcom.ee, info@hordeum.ee</t>
  </si>
  <si>
    <t>5034299, 5048632, 58836676, 5166317</t>
  </si>
  <si>
    <t>46211</t>
  </si>
  <si>
    <t>Teravilja ja loomasööda hulgimüük</t>
  </si>
  <si>
    <t>EE102168332</t>
  </si>
  <si>
    <t>Kaspar Kokk</t>
  </si>
  <si>
    <t>TMB ELEMENT OÜ</t>
  </si>
  <si>
    <t>Tartu linn, Betooni tn 7, Tartu linn, Tartu maakond, Eesti Vabariik</t>
  </si>
  <si>
    <t>info@tmbelement.ee</t>
  </si>
  <si>
    <t>7315400</t>
  </si>
  <si>
    <t>41201</t>
  </si>
  <si>
    <t>Hoonete ehitustööd</t>
  </si>
  <si>
    <t>EE101674801</t>
  </si>
  <si>
    <t>Viljar Männigo</t>
  </si>
  <si>
    <t>HILTI EESTI OÜ</t>
  </si>
  <si>
    <t>Mustamäe tee 46, 10621, Kristiine linnaosa, Tallinn, Harju maakond, Eesti Vabariik</t>
  </si>
  <si>
    <t>eesti@hilti.com</t>
  </si>
  <si>
    <t>8008798000, 6260080, 6550900</t>
  </si>
  <si>
    <t>46749</t>
  </si>
  <si>
    <t>Tööriistade ja rauakaupade hulgimüük</t>
  </si>
  <si>
    <t>EE100153750</t>
  </si>
  <si>
    <t>Herly Saar</t>
  </si>
  <si>
    <t>CISTA AS</t>
  </si>
  <si>
    <t>Karbi, 63503, Ihamaru küla, Kanepi vald, Põlva maakond, Eesti Vabariik</t>
  </si>
  <si>
    <t>cista@cista.ee</t>
  </si>
  <si>
    <t>7999289, 7999280</t>
  </si>
  <si>
    <t>C</t>
  </si>
  <si>
    <t>17211</t>
  </si>
  <si>
    <t>Papptaara tootmine</t>
  </si>
  <si>
    <t>EE100002995</t>
  </si>
  <si>
    <t>Vahur Käärik</t>
  </si>
  <si>
    <t>SARLES OÜ</t>
  </si>
  <si>
    <t>Vabriku tn 10, 60534, Vahi alevik, Tartu vald, Tartu maakond, Eesti Vabariik</t>
  </si>
  <si>
    <t>info@sarles.ee, sven@sarles.ee, lesaar@live.com</t>
  </si>
  <si>
    <t>5088366</t>
  </si>
  <si>
    <t>01631</t>
  </si>
  <si>
    <t>Saagikoristusjärgsed tegevused</t>
  </si>
  <si>
    <t>EE101470788</t>
  </si>
  <si>
    <t>Anti Lehiste</t>
  </si>
  <si>
    <t>KEMMERLING OÜ</t>
  </si>
  <si>
    <t>Tartu linn, Turu põik 4/1, 50106, Tartu linn, Tartu maakond, Eesti Vabariik</t>
  </si>
  <si>
    <t>juhataja@kemmerling.ee, tallinn@kemmerling.ee, ida@kemmerling.ee, info@kemmerling.ee</t>
  </si>
  <si>
    <t>6002666, 5106660, 3320807, 7367444, 5131903, 1929</t>
  </si>
  <si>
    <t>E</t>
  </si>
  <si>
    <t>37001</t>
  </si>
  <si>
    <t>Kanalisatsioon</t>
  </si>
  <si>
    <t>EE100991925</t>
  </si>
  <si>
    <t>Külli Ilves</t>
  </si>
  <si>
    <t>KADRIORU PARK</t>
  </si>
  <si>
    <t>A. Weizenbergi tn 26/2, 10127, Tallinn linn, Harju maakond, Eesti Vabariik</t>
  </si>
  <si>
    <t>info@kadriorupark.ee, kadriorupark@kadriorupark.ee</t>
  </si>
  <si>
    <t>55517582</t>
  </si>
  <si>
    <t>R</t>
  </si>
  <si>
    <t>93299</t>
  </si>
  <si>
    <t>Muud vaba aja tegevused</t>
  </si>
  <si>
    <t>EE100770117</t>
  </si>
  <si>
    <t>Ain Järve</t>
  </si>
  <si>
    <t>PERFORCE SOFTWARE AS</t>
  </si>
  <si>
    <t>Tartu linn, Ülikooli tn 2, 51003, Tartu linn, Tartu maakond, Eesti Vabariik</t>
  </si>
  <si>
    <t>toomas.romer@roguewave.com, hweber@perforce.com, skilian@perforce.com</t>
  </si>
  <si>
    <t>EE101321112</t>
  </si>
  <si>
    <t>Sara Marie Kilian</t>
  </si>
  <si>
    <t>GEO S.T. OÜ</t>
  </si>
  <si>
    <t>Meistri tn 10, 13517, Haabersti linnaosa, Tallinn, Harju maakond, Eesti Vabariik</t>
  </si>
  <si>
    <t>info@geo.ee</t>
  </si>
  <si>
    <t>5066853</t>
  </si>
  <si>
    <t>M</t>
  </si>
  <si>
    <t>71121</t>
  </si>
  <si>
    <t>Insener-tehniline projekteerimine</t>
  </si>
  <si>
    <t>EE100330133</t>
  </si>
  <si>
    <t>Harald Lindeberg</t>
  </si>
  <si>
    <t>E-PIIM TOOTMINE AS</t>
  </si>
  <si>
    <t>Pikk tn 16, 73301, Järva-Jaani alev, Järva vald, Järva maakond, Eesti Vabariik</t>
  </si>
  <si>
    <t>epiim@epiim.ee</t>
  </si>
  <si>
    <t>3838301, 3838300</t>
  </si>
  <si>
    <t>10519</t>
  </si>
  <si>
    <t>Piimatoodete tootmine</t>
  </si>
  <si>
    <t>EE101498773</t>
  </si>
  <si>
    <t>Jaanus Murakas</t>
  </si>
  <si>
    <t>LEIBUR AS</t>
  </si>
  <si>
    <t>Leiva tn 1, 12618, Mustamäe linnaosa, Tallinn, Harju maakond, Eesti Vabariik</t>
  </si>
  <si>
    <t>leibur@leibur.ee</t>
  </si>
  <si>
    <t>6720293, 6504777</t>
  </si>
  <si>
    <t>47241</t>
  </si>
  <si>
    <t>Kondiitritoodete jaemüük</t>
  </si>
  <si>
    <t>EE100107609</t>
  </si>
  <si>
    <t>Asso Lankots</t>
  </si>
  <si>
    <t>PÄRNU AUTO ETM OÜ</t>
  </si>
  <si>
    <t>Tallinna mnt 93, 80041, Pärnu linn, Pärnu linn, Pärnu maakond, Eesti Vabariik</t>
  </si>
  <si>
    <t>parnuauto@parnuauto.ee</t>
  </si>
  <si>
    <t>4433601, 5069043, 4433600</t>
  </si>
  <si>
    <t>49411</t>
  </si>
  <si>
    <t>Kaubavedu maanteel</t>
  </si>
  <si>
    <t>EE100154500</t>
  </si>
  <si>
    <t>Karin Reidla</t>
  </si>
  <si>
    <t>BRENTEX OÜ</t>
  </si>
  <si>
    <t>Kasti, 78221, Kasti küla, Märjamaa vald, Rapla maakond, Eesti Vabariik</t>
  </si>
  <si>
    <t>info@brentex.ee, talis@brentex.ee, toomas@brentex.ee</t>
  </si>
  <si>
    <t>6704331, 53406178, 6704332</t>
  </si>
  <si>
    <t>EE100656891</t>
  </si>
  <si>
    <t>Talis Kink</t>
  </si>
  <si>
    <t>ESPAK AS</t>
  </si>
  <si>
    <t>Viadukti tn 42, 11313, Kesklinna linnaosa, Tallinn, Harju maakond, Eesti Vabariik</t>
  </si>
  <si>
    <t>arvi.liivik@espak.ee</t>
  </si>
  <si>
    <t>6512306, 6512303, 6512301, 6512302</t>
  </si>
  <si>
    <t>47529</t>
  </si>
  <si>
    <t>Muude ehitusmaterjalide jaemüük</t>
  </si>
  <si>
    <t>EE100298369</t>
  </si>
  <si>
    <t>Arvi Liivik</t>
  </si>
  <si>
    <t>INEST MARKET AS</t>
  </si>
  <si>
    <t>Inesti, 30103, Saka küla, Toila vald, Ida-Viru maakond, Eesti Vabariik</t>
  </si>
  <si>
    <t>info@inestmarket.ee</t>
  </si>
  <si>
    <t>3370433, 3328211, 6990260</t>
  </si>
  <si>
    <t>4643</t>
  </si>
  <si>
    <t>Elektriliste kodumasinate hulgimüük</t>
  </si>
  <si>
    <t>EE100154319</t>
  </si>
  <si>
    <t>Valeri Šestilovski</t>
  </si>
  <si>
    <t>HIIELAID OÜ</t>
  </si>
  <si>
    <t>Tehvanijaani, 45315, Pehka küla, Haljala vald, Lääne-Viru maakond, Eesti Vabariik</t>
  </si>
  <si>
    <t>hiielaid@hot.ee, katelapuit@gmail.com</t>
  </si>
  <si>
    <t>5048960, 59821004</t>
  </si>
  <si>
    <t>16101</t>
  </si>
  <si>
    <t>Saematerjali tootmine</t>
  </si>
  <si>
    <t>EE100462810</t>
  </si>
  <si>
    <t>Toomas Hiielaid</t>
  </si>
  <si>
    <t>REFLEKT GROUP OÜ</t>
  </si>
  <si>
    <t>Rotermanni tn 2, 10111, Tallinn linn, Harju maakond, Eesti Vabariik</t>
  </si>
  <si>
    <t>ristomagi@gmail.com, connect@reflekt.ee</t>
  </si>
  <si>
    <t>56641399, 5114144, 5185948</t>
  </si>
  <si>
    <t>18131</t>
  </si>
  <si>
    <t>Trükieelne tegevus</t>
  </si>
  <si>
    <t>EE102096585</t>
  </si>
  <si>
    <t>Risto Mägi</t>
  </si>
  <si>
    <t>QVALITAS ARSTIKESKUS AS</t>
  </si>
  <si>
    <t>estonia@qvalitas.ee</t>
  </si>
  <si>
    <t>6051515, 6051500, 6051550</t>
  </si>
  <si>
    <t>86221</t>
  </si>
  <si>
    <t>Eriarstiabi osutamine</t>
  </si>
  <si>
    <t>EE100213315</t>
  </si>
  <si>
    <t>Kadri Kapp</t>
  </si>
  <si>
    <t>WIRU AUTO OÜ</t>
  </si>
  <si>
    <t>F. R. Kreutzwaldi tn 7, 44314, Rakvere linn, Lääne-Viru maakond, Eesti Vabariik</t>
  </si>
  <si>
    <t>info@wiruauto.ee, sekretar@wiruauto.ee</t>
  </si>
  <si>
    <t>3295560</t>
  </si>
  <si>
    <t>4520</t>
  </si>
  <si>
    <t>Mootorsõidukite remont</t>
  </si>
  <si>
    <t>EE100697371</t>
  </si>
  <si>
    <t>Terje Saksen</t>
  </si>
  <si>
    <t>WHIRLPOOL EESTI OÜ</t>
  </si>
  <si>
    <t>Türi tn 10c, 11313, Tallinn linn, Harju maakond, Eesti Vabariik</t>
  </si>
  <si>
    <t>info_estonia@whirlpool.com</t>
  </si>
  <si>
    <t>6501670</t>
  </si>
  <si>
    <t>46431</t>
  </si>
  <si>
    <t>EE100325193</t>
  </si>
  <si>
    <t>Denys Barilovskyi</t>
  </si>
  <si>
    <t>ALISTRON AS</t>
  </si>
  <si>
    <t>Mäealuse tn 10b, 12618, Mustamäe linnaosa, Tallinn, Harju maakond, Eesti Vabariik</t>
  </si>
  <si>
    <t>alistron@alistron.ee, alistron@hot.ee</t>
  </si>
  <si>
    <t>5014184, 6720425, 6720145, 6720428</t>
  </si>
  <si>
    <t>43331</t>
  </si>
  <si>
    <t>Põranda- ja seinakatete paigaldus</t>
  </si>
  <si>
    <t>EE100217191</t>
  </si>
  <si>
    <t>Aleksandr Pevzner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</si>
</sst>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yyyy\-mm\-dd"/>
    <numFmt numFmtId="166" formatCode="#,##0\ \€"/>
  </numFmts>
  <fonts count="7">
    <font>
      <sz val="11"/>
      <color theme="1"/>
      <name val="Calibri"/>
      <family val="2"/>
      <scheme val="minor"/>
    </font>
    <font>
      <b/>
      <sz val="11"/>
      <color rgb="FF0777D9"/>
      <name val="Calibri"/>
      <family val="2"/>
    </font>
    <font>
      <b/>
      <sz val="11"/>
      <color rgb="FF93003C"/>
      <name val="Calibri"/>
      <family val="2"/>
    </font>
    <font>
      <b/>
      <sz val="11"/>
      <color rgb="FF409A3C"/>
      <name val="Calibri"/>
      <family val="2"/>
    </font>
    <font>
      <b/>
      <sz val="11"/>
      <color rgb="FF8DC63F"/>
      <name val="Calibri"/>
      <family val="2"/>
    </font>
    <font>
      <b/>
      <sz val="11"/>
      <color rgb="FFF37121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D8F"/>
        <bgColor rgb="FF003D8F"/>
      </patternFill>
    </fill>
    <fill>
      <patternFill patternType="solid">
        <fgColor rgb="FF0097C4"/>
        <bgColor rgb="FF0097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6" fillId="2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workbookViewId="0">
      <pane xSplit="2" ySplit="1" topLeftCell="C2" activePane="bottomRight" state="frozen"/>
      <selection pane="bottomRight" activeCell="AQ12" sqref="AO11:AQ12"/>
      <selection pane="bottomLeft"/>
      <selection pane="topRight"/>
    </sheetView>
  </sheetViews>
  <sheetFormatPr defaultRowHeight="15" outlineLevelCol="1"/>
  <cols>
    <col min="1" max="1" width="11" customWidth="1"/>
    <col min="2" max="2" width="25" customWidth="1"/>
    <col min="3" max="3" width="11" customWidth="1"/>
    <col min="5" max="5" width="15" customWidth="1"/>
    <col min="7" max="7" width="20.7109375" customWidth="1"/>
    <col min="9" max="9" width="11" customWidth="1"/>
    <col min="10" max="10" width="6.42578125" customWidth="1"/>
    <col min="11" max="11" width="11" customWidth="1"/>
    <col min="15" max="15" width="11.85546875" customWidth="1"/>
    <col min="17" max="17" width="11" customWidth="1"/>
    <col min="19" max="21" width="13" hidden="1" customWidth="1" outlineLevel="1"/>
    <col min="22" max="22" width="9.140625" collapsed="1"/>
    <col min="28" max="28" width="12.7109375" customWidth="1"/>
    <col min="29" max="29" width="11.5703125" customWidth="1"/>
    <col min="30" max="30" width="11.42578125" customWidth="1"/>
    <col min="32" max="32" width="12.28515625" customWidth="1"/>
  </cols>
  <sheetData>
    <row r="1" spans="1:38" ht="6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1" t="s">
        <v>36</v>
      </c>
      <c r="AL1" s="2" t="s">
        <v>37</v>
      </c>
    </row>
    <row r="2" spans="1:38">
      <c r="A2">
        <v>11177055</v>
      </c>
      <c r="B2" t="s">
        <v>38</v>
      </c>
      <c r="C2" s="3">
        <v>38636</v>
      </c>
      <c r="D2" t="s">
        <v>39</v>
      </c>
      <c r="E2" t="s">
        <v>40</v>
      </c>
      <c r="F2" s="4" t="str">
        <f>HYPERLINK("https://ssb.ee/11177055-ID/otsustajad-kasusaajad","link")</f>
        <v>link</v>
      </c>
      <c r="G2" t="s">
        <v>41</v>
      </c>
      <c r="H2" t="s">
        <v>42</v>
      </c>
      <c r="I2" s="4" t="str">
        <f>HYPERLINK("https://pvc-hallid.ee/","link")</f>
        <v>link</v>
      </c>
      <c r="J2" t="s">
        <v>43</v>
      </c>
      <c r="K2" t="s">
        <v>44</v>
      </c>
      <c r="L2" t="s">
        <v>45</v>
      </c>
      <c r="M2" s="4" t="str">
        <f>HYPERLINK("https://ssb.ee/11177055-ID/meedia-arvamuslood","link")</f>
        <v>link</v>
      </c>
      <c r="N2" t="s">
        <v>46</v>
      </c>
      <c r="O2" s="5">
        <v>38782</v>
      </c>
      <c r="P2" t="s">
        <v>47</v>
      </c>
      <c r="Q2" s="6">
        <v>80700</v>
      </c>
      <c r="R2">
        <v>2021</v>
      </c>
      <c r="S2" s="7" t="s">
        <v>47</v>
      </c>
      <c r="T2" s="7" t="s">
        <v>47</v>
      </c>
      <c r="U2" s="7" t="s">
        <v>47</v>
      </c>
      <c r="V2">
        <v>0.01</v>
      </c>
      <c r="W2" s="8" t="s">
        <v>48</v>
      </c>
      <c r="X2" t="s">
        <v>49</v>
      </c>
      <c r="Y2" s="4" t="str">
        <f>HYPERLINK("https://ssb.ee/11177055-ID/kohustused-volad-kohtulahendid","link")</f>
        <v>link</v>
      </c>
      <c r="Z2">
        <v>3160</v>
      </c>
      <c r="AA2" s="4" t="str">
        <f>HYPERLINK("https://ssb.ee/11177055-ID/finantsid-varad-prognoosid","link")</f>
        <v>link</v>
      </c>
      <c r="AB2" s="6">
        <v>130968</v>
      </c>
      <c r="AC2" s="6">
        <v>12641</v>
      </c>
      <c r="AD2" s="6">
        <v>1066193</v>
      </c>
      <c r="AE2">
        <v>6</v>
      </c>
      <c r="AF2" s="6">
        <v>2820594</v>
      </c>
      <c r="AG2" s="6">
        <v>1390</v>
      </c>
      <c r="AH2" s="4" t="str">
        <f>HYPERLINK("https://ssb.ee/11177055-ID/tootajad-palgad","link")</f>
        <v>link</v>
      </c>
      <c r="AI2" t="s">
        <v>50</v>
      </c>
      <c r="AJ2">
        <v>0.33800000000000002</v>
      </c>
      <c r="AK2" s="9" t="s">
        <v>51</v>
      </c>
      <c r="AL2" s="4" t="str">
        <f>HYPERLINK("https://ssb.ee/juhatuse-liikme-cv?id=420580","link")</f>
        <v>link</v>
      </c>
    </row>
    <row r="3" spans="1:38">
      <c r="A3">
        <v>12020367</v>
      </c>
      <c r="B3" t="s">
        <v>52</v>
      </c>
      <c r="C3" s="3">
        <v>40499</v>
      </c>
      <c r="D3" t="s">
        <v>39</v>
      </c>
      <c r="E3" t="s">
        <v>53</v>
      </c>
      <c r="F3" s="4" t="str">
        <f>HYPERLINK("https://ssb.ee/12020367-ID/otsustajad-kasusaajad","link")</f>
        <v>link</v>
      </c>
      <c r="G3" t="s">
        <v>54</v>
      </c>
      <c r="H3" t="s">
        <v>55</v>
      </c>
      <c r="I3" s="4" t="str">
        <f>HYPERLINK("https://hurtigrutenestonia.ee/ ","link")</f>
        <v>link</v>
      </c>
      <c r="J3" t="s">
        <v>56</v>
      </c>
      <c r="K3" t="s">
        <v>57</v>
      </c>
      <c r="L3" t="s">
        <v>58</v>
      </c>
      <c r="M3" s="4" t="str">
        <f>HYPERLINK("https://ssb.ee/12020367-ID/meedia-arvamuslood","link")</f>
        <v>link</v>
      </c>
      <c r="N3" t="s">
        <v>59</v>
      </c>
      <c r="O3" s="5">
        <v>40519</v>
      </c>
      <c r="P3" t="s">
        <v>47</v>
      </c>
      <c r="Q3" s="6">
        <v>100000</v>
      </c>
      <c r="R3">
        <v>2021</v>
      </c>
      <c r="S3" s="7" t="s">
        <v>47</v>
      </c>
      <c r="T3" s="7" t="s">
        <v>47</v>
      </c>
      <c r="U3" s="7" t="s">
        <v>47</v>
      </c>
      <c r="V3">
        <v>0.01</v>
      </c>
      <c r="W3" s="8" t="s">
        <v>48</v>
      </c>
      <c r="X3" t="s">
        <v>49</v>
      </c>
      <c r="Y3" s="4" t="str">
        <f>HYPERLINK("https://ssb.ee/12020367-ID/kohustused-volad-kohtulahendid","link")</f>
        <v>link</v>
      </c>
      <c r="Z3">
        <v>19260</v>
      </c>
      <c r="AA3" s="4" t="str">
        <f>HYPERLINK("https://ssb.ee/12020367-ID/finantsid-varad-prognoosid","link")</f>
        <v>link</v>
      </c>
      <c r="AB3" s="6">
        <v>799094</v>
      </c>
      <c r="AC3" s="6">
        <v>847433</v>
      </c>
      <c r="AD3" s="6">
        <v>4980917</v>
      </c>
      <c r="AE3">
        <v>254</v>
      </c>
      <c r="AF3" s="6">
        <v>13246547</v>
      </c>
      <c r="AG3" s="6">
        <v>1995</v>
      </c>
      <c r="AH3" s="4" t="str">
        <f>HYPERLINK("https://ssb.ee/12020367-ID/tootajad-palgad","link")</f>
        <v>link</v>
      </c>
      <c r="AI3" t="s">
        <v>60</v>
      </c>
      <c r="AJ3">
        <v>0.01</v>
      </c>
      <c r="AK3" s="8" t="s">
        <v>48</v>
      </c>
      <c r="AL3" s="4" t="str">
        <f>HYPERLINK("https://ssb.ee/juhatuse-liikme-cv?id=1492727","link")</f>
        <v>link</v>
      </c>
    </row>
    <row r="4" spans="1:38">
      <c r="A4">
        <v>75006546</v>
      </c>
      <c r="B4" t="s">
        <v>61</v>
      </c>
      <c r="C4" s="3">
        <v>32848</v>
      </c>
      <c r="D4" t="s">
        <v>39</v>
      </c>
      <c r="E4" t="s">
        <v>62</v>
      </c>
      <c r="F4" s="4" t="str">
        <f>HYPERLINK("https://ssb.ee/75006546-ID/otsustajad-kasusaajad","link")</f>
        <v>link</v>
      </c>
      <c r="G4" t="s">
        <v>63</v>
      </c>
      <c r="H4" t="s">
        <v>64</v>
      </c>
      <c r="I4" s="4" t="str">
        <f>HYPERLINK("https://tartusport.ee/ ","link")</f>
        <v>link</v>
      </c>
      <c r="J4" t="s">
        <v>65</v>
      </c>
      <c r="K4" t="s">
        <v>66</v>
      </c>
      <c r="L4" t="s">
        <v>67</v>
      </c>
      <c r="M4" s="4" t="str">
        <f>HYPERLINK("https://ssb.ee/75006546-ID/meedia-arvamuslood","link")</f>
        <v>link</v>
      </c>
      <c r="N4" t="s">
        <v>68</v>
      </c>
      <c r="O4" s="5">
        <v>36923</v>
      </c>
      <c r="P4" t="s">
        <v>47</v>
      </c>
      <c r="Q4" s="6">
        <v>100000</v>
      </c>
      <c r="R4" t="s">
        <v>47</v>
      </c>
      <c r="S4" s="7" t="s">
        <v>47</v>
      </c>
      <c r="T4" s="7" t="s">
        <v>47</v>
      </c>
      <c r="U4" s="7" t="s">
        <v>47</v>
      </c>
      <c r="V4">
        <v>0.01</v>
      </c>
      <c r="W4" s="8" t="s">
        <v>48</v>
      </c>
      <c r="X4" t="s">
        <v>49</v>
      </c>
      <c r="Y4" s="4" t="str">
        <f>HYPERLINK("https://ssb.ee/75006546-ID/kohustused-volad-kohtulahendid","link")</f>
        <v>link</v>
      </c>
      <c r="Z4">
        <v>22940</v>
      </c>
      <c r="AA4" s="4" t="str">
        <f>HYPERLINK("https://ssb.ee/75006546-ID/finantsid-varad-prognoosid","link")</f>
        <v>link</v>
      </c>
      <c r="AB4" s="6">
        <v>8403332</v>
      </c>
      <c r="AC4" s="6">
        <v>8916922</v>
      </c>
      <c r="AD4" s="6">
        <v>380379</v>
      </c>
      <c r="AE4">
        <v>359</v>
      </c>
      <c r="AF4" s="6">
        <v>1538000</v>
      </c>
      <c r="AG4" s="6">
        <v>14610</v>
      </c>
      <c r="AH4" s="4" t="str">
        <f>HYPERLINK("https://ssb.ee/75006546-ID/tootajad-palgad","link")</f>
        <v>link</v>
      </c>
      <c r="AI4" t="s">
        <v>69</v>
      </c>
      <c r="AJ4">
        <v>0.01</v>
      </c>
      <c r="AK4" s="8" t="s">
        <v>48</v>
      </c>
      <c r="AL4" s="4" t="str">
        <f>HYPERLINK("https://ssb.ee/juhatuse-liikme-cv?id=465754","link")</f>
        <v>link</v>
      </c>
    </row>
    <row r="5" spans="1:38">
      <c r="A5">
        <v>10208011</v>
      </c>
      <c r="B5" t="s">
        <v>70</v>
      </c>
      <c r="C5" s="3">
        <v>35559</v>
      </c>
      <c r="D5" t="s">
        <v>39</v>
      </c>
      <c r="E5" t="s">
        <v>71</v>
      </c>
      <c r="F5" s="4" t="str">
        <f>HYPERLINK("https://ssb.ee/10208011-ID/otsustajad-kasusaajad","link")</f>
        <v>link</v>
      </c>
      <c r="G5" t="s">
        <v>72</v>
      </c>
      <c r="H5" t="s">
        <v>73</v>
      </c>
      <c r="I5" s="4" t="str">
        <f>HYPERLINK("https://sivex.ee/","link")</f>
        <v>link</v>
      </c>
      <c r="J5" t="s">
        <v>74</v>
      </c>
      <c r="K5" t="s">
        <v>75</v>
      </c>
      <c r="L5" t="s">
        <v>76</v>
      </c>
      <c r="M5" s="4" t="str">
        <f>HYPERLINK("https://ssb.ee/10208011-ID/meedia-arvamuslood","link")</f>
        <v>link</v>
      </c>
      <c r="N5" t="s">
        <v>77</v>
      </c>
      <c r="O5" s="5">
        <v>34516</v>
      </c>
      <c r="P5" t="s">
        <v>47</v>
      </c>
      <c r="Q5" s="6">
        <v>8100</v>
      </c>
      <c r="R5">
        <v>2021</v>
      </c>
      <c r="S5" s="7" t="s">
        <v>47</v>
      </c>
      <c r="T5" s="7" t="s">
        <v>47</v>
      </c>
      <c r="U5" s="7" t="s">
        <v>47</v>
      </c>
      <c r="V5">
        <v>0.01</v>
      </c>
      <c r="W5" s="8" t="s">
        <v>48</v>
      </c>
      <c r="X5" t="s">
        <v>49</v>
      </c>
      <c r="Y5" s="4" t="str">
        <f>HYPERLINK("https://ssb.ee/10208011-ID/kohustused-volad-kohtulahendid","link")</f>
        <v>link</v>
      </c>
      <c r="Z5">
        <v>4370</v>
      </c>
      <c r="AA5" s="4" t="str">
        <f>HYPERLINK("https://ssb.ee/10208011-ID/finantsid-varad-prognoosid","link")</f>
        <v>link</v>
      </c>
      <c r="AB5" s="6">
        <v>88252</v>
      </c>
      <c r="AC5" s="6">
        <v>5786</v>
      </c>
      <c r="AD5" s="6">
        <v>28140</v>
      </c>
      <c r="AE5">
        <v>3</v>
      </c>
      <c r="AF5" s="6">
        <v>137758</v>
      </c>
      <c r="AG5" s="6">
        <v>1315</v>
      </c>
      <c r="AH5" s="4" t="str">
        <f>HYPERLINK("https://ssb.ee/10208011-ID/tootajad-palgad","link")</f>
        <v>link</v>
      </c>
      <c r="AI5" t="s">
        <v>78</v>
      </c>
      <c r="AJ5">
        <v>0.128</v>
      </c>
      <c r="AK5" s="8" t="s">
        <v>48</v>
      </c>
      <c r="AL5" s="4" t="str">
        <f>HYPERLINK("https://ssb.ee/juhatuse-liikme-cv?id=287328","link")</f>
        <v>link</v>
      </c>
    </row>
    <row r="6" spans="1:38">
      <c r="A6">
        <v>11217056</v>
      </c>
      <c r="B6" t="s">
        <v>79</v>
      </c>
      <c r="C6" s="3">
        <v>38784</v>
      </c>
      <c r="D6" t="s">
        <v>39</v>
      </c>
      <c r="E6" t="s">
        <v>80</v>
      </c>
      <c r="F6" s="4" t="str">
        <f>HYPERLINK("https://ssb.ee/11217056-ID/otsustajad-kasusaajad","link")</f>
        <v>link</v>
      </c>
      <c r="G6" t="s">
        <v>81</v>
      </c>
      <c r="H6" t="s">
        <v>82</v>
      </c>
      <c r="I6" s="4" t="str">
        <f>HYPERLINK("https://betoonisepad.com/ ","link")</f>
        <v>link</v>
      </c>
      <c r="J6" t="s">
        <v>83</v>
      </c>
      <c r="K6" t="s">
        <v>84</v>
      </c>
      <c r="L6" t="s">
        <v>85</v>
      </c>
      <c r="M6" s="4" t="str">
        <f>HYPERLINK("https://ssb.ee/11217056-ID/meedia-arvamuslood","link")</f>
        <v>link</v>
      </c>
      <c r="N6" t="s">
        <v>86</v>
      </c>
      <c r="O6" s="5">
        <v>38852</v>
      </c>
      <c r="P6" t="s">
        <v>47</v>
      </c>
      <c r="Q6" s="6">
        <v>10700</v>
      </c>
      <c r="R6">
        <v>2021</v>
      </c>
      <c r="S6" s="7" t="s">
        <v>47</v>
      </c>
      <c r="T6" s="7" t="s">
        <v>47</v>
      </c>
      <c r="U6" s="7" t="s">
        <v>47</v>
      </c>
      <c r="V6">
        <v>0.01</v>
      </c>
      <c r="W6" s="8" t="s">
        <v>48</v>
      </c>
      <c r="X6" t="s">
        <v>49</v>
      </c>
      <c r="Y6" s="4" t="str">
        <f>HYPERLINK("https://ssb.ee/11217056-ID/kohustused-volad-kohtulahendid","link")</f>
        <v>link</v>
      </c>
      <c r="Z6">
        <v>2750</v>
      </c>
      <c r="AA6" s="4" t="str">
        <f>HYPERLINK("https://ssb.ee/11217056-ID/finantsid-varad-prognoosid","link")</f>
        <v>link</v>
      </c>
      <c r="AB6" s="6">
        <v>6170</v>
      </c>
      <c r="AC6" s="6">
        <v>2731</v>
      </c>
      <c r="AD6" s="6">
        <v>151824</v>
      </c>
      <c r="AE6">
        <v>5</v>
      </c>
      <c r="AF6" s="6">
        <v>415434</v>
      </c>
      <c r="AG6" s="6">
        <v>520</v>
      </c>
      <c r="AH6" s="4" t="str">
        <f>HYPERLINK("https://ssb.ee/11217056-ID/tootajad-palgad","link")</f>
        <v>link</v>
      </c>
      <c r="AI6" t="s">
        <v>87</v>
      </c>
      <c r="AJ6">
        <v>0.21299999999999999</v>
      </c>
      <c r="AK6" s="9" t="s">
        <v>51</v>
      </c>
      <c r="AL6" s="4" t="str">
        <f>HYPERLINK("https://ssb.ee/juhatuse-liikme-cv?id=317733","link")</f>
        <v>link</v>
      </c>
    </row>
    <row r="7" spans="1:38">
      <c r="A7">
        <v>16050046</v>
      </c>
      <c r="B7" t="s">
        <v>88</v>
      </c>
      <c r="C7" s="3">
        <v>44085</v>
      </c>
      <c r="D7" t="s">
        <v>39</v>
      </c>
      <c r="E7" t="s">
        <v>89</v>
      </c>
      <c r="F7" s="4" t="str">
        <f>HYPERLINK("https://ssb.ee/16050046-ID/otsustajad-kasusaajad","link")</f>
        <v>link</v>
      </c>
      <c r="G7" t="s">
        <v>90</v>
      </c>
      <c r="H7" t="s">
        <v>91</v>
      </c>
      <c r="I7" s="4" t="str">
        <f>HYPERLINK("https://sangarkv.ee/","link")</f>
        <v>link</v>
      </c>
      <c r="J7" t="s">
        <v>92</v>
      </c>
      <c r="K7" t="s">
        <v>93</v>
      </c>
      <c r="L7" t="s">
        <v>94</v>
      </c>
      <c r="M7" s="4" t="str">
        <f>HYPERLINK("https://ssb.ee/16050046-ID/meedia-arvamuslood","link")</f>
        <v>link</v>
      </c>
      <c r="N7" t="s">
        <v>95</v>
      </c>
      <c r="O7" s="5">
        <v>44095</v>
      </c>
      <c r="P7" t="s">
        <v>47</v>
      </c>
      <c r="Q7" s="6">
        <v>11400</v>
      </c>
      <c r="R7">
        <v>2021</v>
      </c>
      <c r="S7" s="7" t="s">
        <v>47</v>
      </c>
      <c r="T7" s="7" t="s">
        <v>47</v>
      </c>
      <c r="U7" s="7" t="s">
        <v>47</v>
      </c>
      <c r="V7">
        <v>0.01</v>
      </c>
      <c r="W7" s="8" t="s">
        <v>48</v>
      </c>
      <c r="X7" t="s">
        <v>49</v>
      </c>
      <c r="Y7" s="4" t="str">
        <f>HYPERLINK("https://ssb.ee/16050046-ID/kohustused-volad-kohtulahendid","link")</f>
        <v>link</v>
      </c>
      <c r="Z7">
        <v>4150</v>
      </c>
      <c r="AA7" s="4" t="str">
        <f>HYPERLINK("https://ssb.ee/16050046-ID/finantsid-varad-prognoosid","link")</f>
        <v>link</v>
      </c>
      <c r="AB7" s="6">
        <v>23721</v>
      </c>
      <c r="AC7" s="6">
        <v>11573</v>
      </c>
      <c r="AD7" s="6">
        <v>136161</v>
      </c>
      <c r="AE7">
        <v>8</v>
      </c>
      <c r="AF7" s="6">
        <v>742443</v>
      </c>
      <c r="AG7" s="6">
        <v>1040</v>
      </c>
      <c r="AH7" s="4" t="str">
        <f>HYPERLINK("https://ssb.ee/16050046-ID/tootajad-palgad","link")</f>
        <v>link</v>
      </c>
      <c r="AI7" t="s">
        <v>96</v>
      </c>
      <c r="AJ7">
        <v>0.67</v>
      </c>
      <c r="AK7" s="10" t="s">
        <v>97</v>
      </c>
      <c r="AL7" s="4" t="str">
        <f>HYPERLINK("https://ssb.ee/juhatuse-liikme-cv?id=285184","link")</f>
        <v>link</v>
      </c>
    </row>
    <row r="8" spans="1:38">
      <c r="A8">
        <v>10033087</v>
      </c>
      <c r="B8" t="s">
        <v>98</v>
      </c>
      <c r="C8" s="3">
        <v>34335</v>
      </c>
      <c r="D8" t="s">
        <v>39</v>
      </c>
      <c r="E8" t="s">
        <v>99</v>
      </c>
      <c r="F8" s="4" t="str">
        <f>HYPERLINK("https://ssb.ee/10033087-ID/otsustajad-kasusaajad","link")</f>
        <v>link</v>
      </c>
      <c r="G8" t="s">
        <v>100</v>
      </c>
      <c r="H8" t="s">
        <v>101</v>
      </c>
      <c r="I8" s="4" t="str">
        <f>HYPERLINK("https://www.mivar-viva.ee/","link")</f>
        <v>link</v>
      </c>
      <c r="J8" t="s">
        <v>43</v>
      </c>
      <c r="K8" t="s">
        <v>102</v>
      </c>
      <c r="L8" t="s">
        <v>103</v>
      </c>
      <c r="M8" s="4" t="str">
        <f>HYPERLINK("https://ssb.ee/10033087-ID/meedia-arvamuslood","link")</f>
        <v>link</v>
      </c>
      <c r="N8" t="s">
        <v>104</v>
      </c>
      <c r="O8" s="5">
        <v>34335</v>
      </c>
      <c r="P8" t="s">
        <v>47</v>
      </c>
      <c r="Q8" s="6">
        <v>100000</v>
      </c>
      <c r="R8">
        <v>2021</v>
      </c>
      <c r="S8" s="7" t="s">
        <v>47</v>
      </c>
      <c r="T8" s="7" t="s">
        <v>47</v>
      </c>
      <c r="U8" s="7" t="s">
        <v>47</v>
      </c>
      <c r="V8">
        <v>0.01</v>
      </c>
      <c r="W8" s="8" t="s">
        <v>48</v>
      </c>
      <c r="X8" t="s">
        <v>49</v>
      </c>
      <c r="Y8" s="4" t="str">
        <f>HYPERLINK("https://ssb.ee/10033087-ID/kohustused-volad-kohtulahendid","link")</f>
        <v>link</v>
      </c>
      <c r="Z8">
        <v>16700</v>
      </c>
      <c r="AA8" s="4" t="str">
        <f>HYPERLINK("https://ssb.ee/10033087-ID/finantsid-varad-prognoosid","link")</f>
        <v>link</v>
      </c>
      <c r="AB8" s="6">
        <v>233755</v>
      </c>
      <c r="AC8" s="6">
        <v>197144</v>
      </c>
      <c r="AD8" s="6">
        <v>3843661</v>
      </c>
      <c r="AE8">
        <v>157</v>
      </c>
      <c r="AF8" s="6">
        <v>12024159</v>
      </c>
      <c r="AG8" s="6">
        <v>975</v>
      </c>
      <c r="AH8" s="4" t="str">
        <f>HYPERLINK("https://ssb.ee/10033087-ID/tootajad-palgad","link")</f>
        <v>link</v>
      </c>
      <c r="AI8" t="s">
        <v>105</v>
      </c>
      <c r="AJ8">
        <v>0.255</v>
      </c>
      <c r="AK8" s="9" t="s">
        <v>51</v>
      </c>
      <c r="AL8" s="4" t="str">
        <f>HYPERLINK("https://ssb.ee/juhatuse-liikme-cv?id=369000","link")</f>
        <v>link</v>
      </c>
    </row>
    <row r="9" spans="1:38">
      <c r="A9">
        <v>10040437</v>
      </c>
      <c r="B9" t="s">
        <v>106</v>
      </c>
      <c r="C9" s="3">
        <v>35219</v>
      </c>
      <c r="D9" t="s">
        <v>39</v>
      </c>
      <c r="E9" t="s">
        <v>107</v>
      </c>
      <c r="F9" s="4" t="str">
        <f>HYPERLINK("https://ssb.ee/10040437-ID/otsustajad-kasusaajad","link")</f>
        <v>link</v>
      </c>
      <c r="G9" t="s">
        <v>108</v>
      </c>
      <c r="H9" t="s">
        <v>109</v>
      </c>
      <c r="I9" s="4" t="str">
        <f>HYPERLINK("https://eskaro.com/","link")</f>
        <v>link</v>
      </c>
      <c r="J9" t="s">
        <v>43</v>
      </c>
      <c r="K9" t="s">
        <v>110</v>
      </c>
      <c r="L9" t="s">
        <v>111</v>
      </c>
      <c r="M9" s="4" t="str">
        <f>HYPERLINK("https://ssb.ee/10040437-ID/meedia-arvamuslood","link")</f>
        <v>link</v>
      </c>
      <c r="N9" t="s">
        <v>112</v>
      </c>
      <c r="O9" s="5">
        <v>34366</v>
      </c>
      <c r="P9" t="s">
        <v>47</v>
      </c>
      <c r="Q9" s="6">
        <v>100000</v>
      </c>
      <c r="R9">
        <v>2021</v>
      </c>
      <c r="S9" s="7" t="s">
        <v>47</v>
      </c>
      <c r="T9" s="7" t="s">
        <v>47</v>
      </c>
      <c r="U9" s="7" t="s">
        <v>47</v>
      </c>
      <c r="V9">
        <v>0.01</v>
      </c>
      <c r="W9" s="8" t="s">
        <v>48</v>
      </c>
      <c r="X9" t="s">
        <v>49</v>
      </c>
      <c r="Y9" s="4" t="str">
        <f>HYPERLINK("https://ssb.ee/10040437-ID/kohustused-volad-kohtulahendid","link")</f>
        <v>link</v>
      </c>
      <c r="Z9">
        <v>15560</v>
      </c>
      <c r="AA9" s="4" t="str">
        <f>HYPERLINK("https://ssb.ee/10040437-ID/finantsid-varad-prognoosid","link")</f>
        <v>link</v>
      </c>
      <c r="AB9" s="6">
        <v>375195</v>
      </c>
      <c r="AC9" s="6">
        <v>190090</v>
      </c>
      <c r="AD9" s="6">
        <v>5225595</v>
      </c>
      <c r="AE9">
        <v>67</v>
      </c>
      <c r="AF9" s="6">
        <v>9917862</v>
      </c>
      <c r="AG9" s="6">
        <v>1770</v>
      </c>
      <c r="AH9" s="4" t="str">
        <f>HYPERLINK("https://ssb.ee/10040437-ID/tootajad-palgad","link")</f>
        <v>link</v>
      </c>
      <c r="AI9" t="s">
        <v>113</v>
      </c>
      <c r="AJ9">
        <v>0.01</v>
      </c>
      <c r="AK9" s="8" t="s">
        <v>48</v>
      </c>
      <c r="AL9" s="4" t="str">
        <f>HYPERLINK("https://ssb.ee/juhatuse-liikme-cv?id=693219","link")</f>
        <v>link</v>
      </c>
    </row>
    <row r="10" spans="1:38">
      <c r="A10">
        <v>16215814</v>
      </c>
      <c r="B10" t="s">
        <v>114</v>
      </c>
      <c r="C10" s="3">
        <v>44313</v>
      </c>
      <c r="D10" t="s">
        <v>39</v>
      </c>
      <c r="E10" t="s">
        <v>115</v>
      </c>
      <c r="F10" s="4" t="str">
        <f>HYPERLINK("https://ssb.ee/16215814-ID/otsustajad-kasusaajad","link")</f>
        <v>link</v>
      </c>
      <c r="G10" t="s">
        <v>116</v>
      </c>
      <c r="H10" t="s">
        <v>117</v>
      </c>
      <c r="I10" s="4" t="str">
        <f>HYPERLINK("https://www.checkout.com/","link")</f>
        <v>link</v>
      </c>
      <c r="J10" t="s">
        <v>118</v>
      </c>
      <c r="K10" t="s">
        <v>119</v>
      </c>
      <c r="L10" t="s">
        <v>120</v>
      </c>
      <c r="M10" s="4" t="str">
        <f>HYPERLINK("https://ssb.ee/16215814-ID/meedia-arvamuslood","link")</f>
        <v>link</v>
      </c>
      <c r="N10" t="s">
        <v>47</v>
      </c>
      <c r="O10" t="s">
        <v>47</v>
      </c>
      <c r="P10" t="s">
        <v>47</v>
      </c>
      <c r="Q10" s="6">
        <v>80000</v>
      </c>
      <c r="R10" t="s">
        <v>47</v>
      </c>
      <c r="S10" s="7" t="s">
        <v>47</v>
      </c>
      <c r="T10" s="7" t="s">
        <v>47</v>
      </c>
      <c r="U10" s="7" t="s">
        <v>47</v>
      </c>
      <c r="V10">
        <v>0.23100000000000001</v>
      </c>
      <c r="W10" s="9" t="s">
        <v>51</v>
      </c>
      <c r="X10" t="s">
        <v>121</v>
      </c>
      <c r="Y10" s="4" t="str">
        <f>HYPERLINK("https://ssb.ee/16215814-ID/kohustused-volad-kohtulahendid","link")</f>
        <v>link</v>
      </c>
      <c r="Z10">
        <v>5020</v>
      </c>
      <c r="AA10" s="4" t="str">
        <f>HYPERLINK("https://ssb.ee/16215814-ID/finantsid-varad-prognoosid","link")</f>
        <v>link</v>
      </c>
      <c r="AB10" s="6">
        <v>856736</v>
      </c>
      <c r="AC10" s="6">
        <v>908383</v>
      </c>
      <c r="AD10" s="6" t="s">
        <v>47</v>
      </c>
      <c r="AE10">
        <v>99</v>
      </c>
      <c r="AF10" s="6" t="s">
        <v>47</v>
      </c>
      <c r="AG10" s="6">
        <v>5450</v>
      </c>
      <c r="AH10" s="4" t="str">
        <f>HYPERLINK("https://ssb.ee/16215814-ID/tootajad-palgad","link")</f>
        <v>link</v>
      </c>
      <c r="AI10" t="s">
        <v>47</v>
      </c>
      <c r="AJ10" t="s">
        <v>47</v>
      </c>
      <c r="AK10" t="s">
        <v>47</v>
      </c>
      <c r="AL10" s="4" t="str">
        <f>HYPERLINK("","link")</f>
        <v>link</v>
      </c>
    </row>
    <row r="11" spans="1:38">
      <c r="A11">
        <v>10833824</v>
      </c>
      <c r="B11" t="s">
        <v>122</v>
      </c>
      <c r="C11" s="3">
        <v>37258</v>
      </c>
      <c r="D11" t="s">
        <v>39</v>
      </c>
      <c r="E11" t="s">
        <v>123</v>
      </c>
      <c r="F11" s="4" t="str">
        <f>HYPERLINK("https://ssb.ee/10833824-ID/otsustajad-kasusaajad","link")</f>
        <v>link</v>
      </c>
      <c r="G11" t="s">
        <v>124</v>
      </c>
      <c r="H11" t="s">
        <v>125</v>
      </c>
      <c r="I11" s="4" t="str">
        <f>HYPERLINK("http://elamuhaldus.ee","link")</f>
        <v>link</v>
      </c>
      <c r="J11" t="s">
        <v>56</v>
      </c>
      <c r="K11" t="s">
        <v>126</v>
      </c>
      <c r="L11" t="s">
        <v>127</v>
      </c>
      <c r="M11" s="4" t="str">
        <f>HYPERLINK("https://ssb.ee/10833824-ID/meedia-arvamuslood","link")</f>
        <v>link</v>
      </c>
      <c r="N11" t="s">
        <v>128</v>
      </c>
      <c r="O11" s="5">
        <v>39814</v>
      </c>
      <c r="P11" t="s">
        <v>47</v>
      </c>
      <c r="Q11" s="6">
        <v>17300</v>
      </c>
      <c r="R11">
        <v>2021</v>
      </c>
      <c r="S11" s="7" t="s">
        <v>47</v>
      </c>
      <c r="T11" s="7" t="s">
        <v>47</v>
      </c>
      <c r="U11" s="7" t="s">
        <v>47</v>
      </c>
      <c r="V11">
        <v>0.01</v>
      </c>
      <c r="W11" s="8" t="s">
        <v>48</v>
      </c>
      <c r="X11" t="s">
        <v>49</v>
      </c>
      <c r="Y11" s="4" t="str">
        <f>HYPERLINK("https://ssb.ee/10833824-ID/kohustused-volad-kohtulahendid","link")</f>
        <v>link</v>
      </c>
      <c r="Z11">
        <v>3040</v>
      </c>
      <c r="AA11" s="4" t="str">
        <f>HYPERLINK("https://ssb.ee/10833824-ID/finantsid-varad-prognoosid","link")</f>
        <v>link</v>
      </c>
      <c r="AB11" s="6">
        <v>63065</v>
      </c>
      <c r="AC11" s="6">
        <v>40099</v>
      </c>
      <c r="AD11" s="6">
        <v>156738</v>
      </c>
      <c r="AE11">
        <v>33</v>
      </c>
      <c r="AF11" s="6">
        <v>660640</v>
      </c>
      <c r="AG11" s="6">
        <v>910</v>
      </c>
      <c r="AH11" s="4" t="str">
        <f>HYPERLINK("https://ssb.ee/10833824-ID/tootajad-palgad","link")</f>
        <v>link</v>
      </c>
      <c r="AI11" t="s">
        <v>129</v>
      </c>
      <c r="AJ11">
        <v>7.0999999999999994E-2</v>
      </c>
      <c r="AK11" s="8" t="s">
        <v>48</v>
      </c>
      <c r="AL11" s="4" t="str">
        <f>HYPERLINK("https://ssb.ee/juhatuse-liikme-cv?id=293686","link")</f>
        <v>link</v>
      </c>
    </row>
    <row r="12" spans="1:38">
      <c r="A12">
        <v>75019264</v>
      </c>
      <c r="B12" t="s">
        <v>130</v>
      </c>
      <c r="C12" s="3">
        <v>34082</v>
      </c>
      <c r="D12" t="s">
        <v>39</v>
      </c>
      <c r="E12" t="s">
        <v>131</v>
      </c>
      <c r="F12" s="4" t="str">
        <f>HYPERLINK("https://ssb.ee/75019264-ID/otsustajad-kasusaajad","link")</f>
        <v>link</v>
      </c>
      <c r="G12" t="s">
        <v>132</v>
      </c>
      <c r="H12" t="s">
        <v>133</v>
      </c>
      <c r="I12" s="4" t="str">
        <f>HYPERLINK("http://iruhk.ee","link")</f>
        <v>link</v>
      </c>
      <c r="J12" t="s">
        <v>134</v>
      </c>
      <c r="K12" t="s">
        <v>135</v>
      </c>
      <c r="L12" t="s">
        <v>136</v>
      </c>
      <c r="M12" s="4" t="str">
        <f>HYPERLINK("https://ssb.ee/75019264-ID/meedia-arvamuslood","link")</f>
        <v>link</v>
      </c>
      <c r="N12" t="s">
        <v>137</v>
      </c>
      <c r="O12" s="5">
        <v>44378</v>
      </c>
      <c r="P12" t="s">
        <v>47</v>
      </c>
      <c r="Q12" s="6">
        <v>42200</v>
      </c>
      <c r="R12" t="s">
        <v>47</v>
      </c>
      <c r="S12" s="7" t="s">
        <v>47</v>
      </c>
      <c r="T12" s="7" t="s">
        <v>47</v>
      </c>
      <c r="U12" s="7" t="s">
        <v>47</v>
      </c>
      <c r="V12">
        <v>0.01</v>
      </c>
      <c r="W12" s="8" t="s">
        <v>48</v>
      </c>
      <c r="X12" t="s">
        <v>49</v>
      </c>
      <c r="Y12" s="4" t="str">
        <f>HYPERLINK("https://ssb.ee/75019264-ID/kohustused-volad-kohtulahendid","link")</f>
        <v>link</v>
      </c>
      <c r="Z12">
        <v>10130</v>
      </c>
      <c r="AA12" s="4" t="str">
        <f>HYPERLINK("https://ssb.ee/75019264-ID/finantsid-varad-prognoosid","link")</f>
        <v>link</v>
      </c>
      <c r="AB12" s="6">
        <v>308372</v>
      </c>
      <c r="AC12" s="6">
        <v>325196</v>
      </c>
      <c r="AD12" s="6" t="s">
        <v>47</v>
      </c>
      <c r="AE12">
        <v>189</v>
      </c>
      <c r="AF12" s="6" t="s">
        <v>47</v>
      </c>
      <c r="AG12" s="6">
        <v>1240</v>
      </c>
      <c r="AH12" s="4" t="str">
        <f>HYPERLINK("https://ssb.ee/75019264-ID/tootajad-palgad","link")</f>
        <v>link</v>
      </c>
      <c r="AI12" t="s">
        <v>138</v>
      </c>
      <c r="AJ12">
        <v>3.0000000000000001E-3</v>
      </c>
      <c r="AK12" s="8" t="s">
        <v>48</v>
      </c>
      <c r="AL12" s="4" t="str">
        <f>HYPERLINK("https://ssb.ee/juhatuse-liikme-cv?id=543899","link")</f>
        <v>link</v>
      </c>
    </row>
    <row r="13" spans="1:38">
      <c r="A13">
        <v>10952993</v>
      </c>
      <c r="B13" t="s">
        <v>139</v>
      </c>
      <c r="C13" s="3">
        <v>37777</v>
      </c>
      <c r="D13" t="s">
        <v>39</v>
      </c>
      <c r="E13" t="s">
        <v>140</v>
      </c>
      <c r="F13" s="4" t="str">
        <f>HYPERLINK("https://ssb.ee/10952993-ID/otsustajad-kasusaajad","link")</f>
        <v>link</v>
      </c>
      <c r="G13" t="s">
        <v>141</v>
      </c>
      <c r="H13" t="s">
        <v>142</v>
      </c>
      <c r="I13" s="4" t="str">
        <f>HYPERLINK("http://lapavira.ee","link")</f>
        <v>link</v>
      </c>
      <c r="J13" t="s">
        <v>143</v>
      </c>
      <c r="K13" t="s">
        <v>144</v>
      </c>
      <c r="L13" t="s">
        <v>145</v>
      </c>
      <c r="M13" s="4" t="str">
        <f>HYPERLINK("https://ssb.ee/10952993-ID/meedia-arvamuslood","link")</f>
        <v>link</v>
      </c>
      <c r="N13" t="s">
        <v>146</v>
      </c>
      <c r="O13" s="5">
        <v>38040</v>
      </c>
      <c r="P13" t="s">
        <v>47</v>
      </c>
      <c r="Q13" s="6">
        <v>18300</v>
      </c>
      <c r="R13">
        <v>2020</v>
      </c>
      <c r="S13" s="7" t="s">
        <v>47</v>
      </c>
      <c r="T13" s="7" t="s">
        <v>47</v>
      </c>
      <c r="U13" s="7" t="s">
        <v>47</v>
      </c>
      <c r="V13">
        <v>0.01</v>
      </c>
      <c r="W13" s="8" t="s">
        <v>48</v>
      </c>
      <c r="X13" t="s">
        <v>49</v>
      </c>
      <c r="Y13" s="4" t="str">
        <f>HYPERLINK("https://ssb.ee/10952993-ID/kohustused-volad-kohtulahendid","link")</f>
        <v>link</v>
      </c>
      <c r="Z13">
        <v>3080</v>
      </c>
      <c r="AA13" s="4" t="str">
        <f>HYPERLINK("https://ssb.ee/10952993-ID/finantsid-varad-prognoosid","link")</f>
        <v>link</v>
      </c>
      <c r="AB13" s="6">
        <v>31572</v>
      </c>
      <c r="AC13" s="6">
        <v>2110</v>
      </c>
      <c r="AD13" s="6">
        <v>240178</v>
      </c>
      <c r="AE13">
        <v>6</v>
      </c>
      <c r="AF13" s="6">
        <v>510475</v>
      </c>
      <c r="AG13" s="6">
        <v>365</v>
      </c>
      <c r="AH13" s="4" t="str">
        <f>HYPERLINK("https://ssb.ee/10952993-ID/tootajad-palgad","link")</f>
        <v>link</v>
      </c>
      <c r="AI13" t="s">
        <v>147</v>
      </c>
      <c r="AJ13">
        <v>5.7000000000000002E-2</v>
      </c>
      <c r="AK13" s="8" t="s">
        <v>48</v>
      </c>
      <c r="AL13" s="4" t="str">
        <f>HYPERLINK("https://ssb.ee/juhatuse-liikme-cv?id=301834","link")</f>
        <v>link</v>
      </c>
    </row>
    <row r="14" spans="1:38">
      <c r="A14">
        <v>10700483</v>
      </c>
      <c r="B14" t="s">
        <v>148</v>
      </c>
      <c r="C14" s="3">
        <v>36782</v>
      </c>
      <c r="D14" t="s">
        <v>39</v>
      </c>
      <c r="E14" t="s">
        <v>149</v>
      </c>
      <c r="F14" s="4" t="str">
        <f>HYPERLINK("https://ssb.ee/10700483-ID/otsustajad-kasusaajad","link")</f>
        <v>link</v>
      </c>
      <c r="G14" t="s">
        <v>150</v>
      </c>
      <c r="H14" t="s">
        <v>151</v>
      </c>
      <c r="I14" s="4" t="str">
        <f>HYPERLINK("https://a-tehnoulevaatus.ee/","link")</f>
        <v>link</v>
      </c>
      <c r="J14" t="s">
        <v>43</v>
      </c>
      <c r="K14" t="s">
        <v>152</v>
      </c>
      <c r="L14" t="s">
        <v>153</v>
      </c>
      <c r="M14" s="4" t="str">
        <f>HYPERLINK("https://ssb.ee/10700483-ID/meedia-arvamuslood","link")</f>
        <v>link</v>
      </c>
      <c r="N14" t="s">
        <v>154</v>
      </c>
      <c r="O14" s="5">
        <v>36800</v>
      </c>
      <c r="P14" t="s">
        <v>47</v>
      </c>
      <c r="Q14" s="6">
        <v>4700</v>
      </c>
      <c r="R14">
        <v>2021</v>
      </c>
      <c r="S14" s="7" t="s">
        <v>47</v>
      </c>
      <c r="T14" s="7" t="s">
        <v>47</v>
      </c>
      <c r="U14" s="7" t="s">
        <v>47</v>
      </c>
      <c r="V14">
        <v>0.01</v>
      </c>
      <c r="W14" s="8" t="s">
        <v>48</v>
      </c>
      <c r="X14" t="s">
        <v>49</v>
      </c>
      <c r="Y14" s="4" t="str">
        <f>HYPERLINK("https://ssb.ee/10700483-ID/kohustused-volad-kohtulahendid","link")</f>
        <v>link</v>
      </c>
      <c r="Z14">
        <v>1980</v>
      </c>
      <c r="AA14" s="4" t="str">
        <f>HYPERLINK("https://ssb.ee/10700483-ID/finantsid-varad-prognoosid","link")</f>
        <v>link</v>
      </c>
      <c r="AB14" s="6">
        <v>12007</v>
      </c>
      <c r="AC14" s="6">
        <v>8384</v>
      </c>
      <c r="AD14" s="6">
        <v>50283</v>
      </c>
      <c r="AE14">
        <v>5</v>
      </c>
      <c r="AF14" s="6">
        <v>170247</v>
      </c>
      <c r="AG14" s="6">
        <v>1170</v>
      </c>
      <c r="AH14" s="4" t="str">
        <f>HYPERLINK("https://ssb.ee/10700483-ID/tootajad-palgad","link")</f>
        <v>link</v>
      </c>
      <c r="AI14" t="s">
        <v>155</v>
      </c>
      <c r="AJ14">
        <v>0.01</v>
      </c>
      <c r="AK14" s="8" t="s">
        <v>48</v>
      </c>
      <c r="AL14" s="4" t="str">
        <f>HYPERLINK("https://ssb.ee/juhatuse-liikme-cv?id=291441","link")</f>
        <v>link</v>
      </c>
    </row>
    <row r="15" spans="1:38">
      <c r="A15">
        <v>14688492</v>
      </c>
      <c r="B15" t="s">
        <v>156</v>
      </c>
      <c r="C15" s="3">
        <v>43549</v>
      </c>
      <c r="D15" t="s">
        <v>39</v>
      </c>
      <c r="E15" t="s">
        <v>157</v>
      </c>
      <c r="F15" s="4" t="str">
        <f>HYPERLINK("https://ssb.ee/14688492-ID/otsustajad-kasusaajad","link")</f>
        <v>link</v>
      </c>
      <c r="G15" t="s">
        <v>158</v>
      </c>
      <c r="H15" t="s">
        <v>159</v>
      </c>
      <c r="I15" s="4" t="str">
        <f>HYPERLINK("https://hordeum.ee/","link")</f>
        <v>link</v>
      </c>
      <c r="J15" t="s">
        <v>43</v>
      </c>
      <c r="K15" t="s">
        <v>160</v>
      </c>
      <c r="L15" t="s">
        <v>161</v>
      </c>
      <c r="M15" s="4" t="str">
        <f>HYPERLINK("https://ssb.ee/14688492-ID/meedia-arvamuslood","link")</f>
        <v>link</v>
      </c>
      <c r="N15" t="s">
        <v>162</v>
      </c>
      <c r="O15" s="5">
        <v>43641</v>
      </c>
      <c r="P15" t="s">
        <v>47</v>
      </c>
      <c r="Q15" s="6">
        <v>100000</v>
      </c>
      <c r="R15">
        <v>2021</v>
      </c>
      <c r="S15" s="7" t="s">
        <v>47</v>
      </c>
      <c r="T15" s="7" t="s">
        <v>47</v>
      </c>
      <c r="U15" s="7" t="s">
        <v>47</v>
      </c>
      <c r="V15">
        <v>0.01</v>
      </c>
      <c r="W15" s="8" t="s">
        <v>48</v>
      </c>
      <c r="X15" t="s">
        <v>49</v>
      </c>
      <c r="Y15" s="4" t="str">
        <f>HYPERLINK("https://ssb.ee/14688492-ID/kohustused-volad-kohtulahendid","link")</f>
        <v>link</v>
      </c>
      <c r="Z15">
        <v>5860</v>
      </c>
      <c r="AA15" s="4" t="str">
        <f>HYPERLINK("https://ssb.ee/14688492-ID/finantsid-varad-prognoosid","link")</f>
        <v>link</v>
      </c>
      <c r="AB15" s="6">
        <v>566829</v>
      </c>
      <c r="AC15" s="6">
        <v>15550</v>
      </c>
      <c r="AD15" s="6">
        <v>6262831</v>
      </c>
      <c r="AE15">
        <v>4</v>
      </c>
      <c r="AF15" s="6">
        <v>14670368</v>
      </c>
      <c r="AG15" s="6">
        <v>2335</v>
      </c>
      <c r="AH15" s="4" t="str">
        <f>HYPERLINK("https://ssb.ee/14688492-ID/tootajad-palgad","link")</f>
        <v>link</v>
      </c>
      <c r="AI15" t="s">
        <v>163</v>
      </c>
      <c r="AJ15">
        <v>0.11899999999999999</v>
      </c>
      <c r="AK15" s="8" t="s">
        <v>48</v>
      </c>
      <c r="AL15" s="4" t="str">
        <f>HYPERLINK("https://ssb.ee/juhatuse-liikme-cv?id=277514","link")</f>
        <v>link</v>
      </c>
    </row>
    <row r="16" spans="1:38">
      <c r="A16">
        <v>12560626</v>
      </c>
      <c r="B16" t="s">
        <v>164</v>
      </c>
      <c r="C16" s="3">
        <v>41575</v>
      </c>
      <c r="D16" t="s">
        <v>39</v>
      </c>
      <c r="E16" t="s">
        <v>165</v>
      </c>
      <c r="F16" s="4" t="str">
        <f>HYPERLINK("https://ssb.ee/12560626-ID/otsustajad-kasusaajad","link")</f>
        <v>link</v>
      </c>
      <c r="G16" t="s">
        <v>166</v>
      </c>
      <c r="H16" t="s">
        <v>167</v>
      </c>
      <c r="I16" s="4" t="str">
        <f>HYPERLINK("http://tmbelement.ee","link")</f>
        <v>link</v>
      </c>
      <c r="J16" t="s">
        <v>83</v>
      </c>
      <c r="K16" t="s">
        <v>168</v>
      </c>
      <c r="L16" t="s">
        <v>169</v>
      </c>
      <c r="M16" s="4" t="str">
        <f>HYPERLINK("https://ssb.ee/12560626-ID/meedia-arvamuslood","link")</f>
        <v>link</v>
      </c>
      <c r="N16" t="s">
        <v>170</v>
      </c>
      <c r="O16" s="5">
        <v>41579</v>
      </c>
      <c r="P16" t="s">
        <v>47</v>
      </c>
      <c r="Q16" s="6">
        <v>100000</v>
      </c>
      <c r="R16">
        <v>2021</v>
      </c>
      <c r="S16" s="7" t="s">
        <v>47</v>
      </c>
      <c r="T16" s="7" t="s">
        <v>47</v>
      </c>
      <c r="U16" s="7" t="s">
        <v>47</v>
      </c>
      <c r="V16">
        <v>0.01</v>
      </c>
      <c r="W16" s="8" t="s">
        <v>48</v>
      </c>
      <c r="X16" t="s">
        <v>49</v>
      </c>
      <c r="Y16" s="4" t="str">
        <f>HYPERLINK("https://ssb.ee/12560626-ID/kohustused-volad-kohtulahendid","link")</f>
        <v>link</v>
      </c>
      <c r="Z16">
        <v>18400</v>
      </c>
      <c r="AA16" s="4" t="str">
        <f>HYPERLINK("https://ssb.ee/12560626-ID/finantsid-varad-prognoosid","link")</f>
        <v>link</v>
      </c>
      <c r="AB16" s="6">
        <v>620978</v>
      </c>
      <c r="AC16" s="6">
        <v>586257</v>
      </c>
      <c r="AD16" s="6">
        <v>9278186</v>
      </c>
      <c r="AE16">
        <v>176</v>
      </c>
      <c r="AF16" s="6">
        <v>24429141</v>
      </c>
      <c r="AG16" s="6">
        <v>1995</v>
      </c>
      <c r="AH16" s="4" t="str">
        <f>HYPERLINK("https://ssb.ee/12560626-ID/tootajad-palgad","link")</f>
        <v>link</v>
      </c>
      <c r="AI16" t="s">
        <v>171</v>
      </c>
      <c r="AJ16">
        <v>6.7000000000000004E-2</v>
      </c>
      <c r="AK16" s="8" t="s">
        <v>48</v>
      </c>
      <c r="AL16" s="4" t="str">
        <f>HYPERLINK("https://ssb.ee/juhatuse-liikme-cv?id=409553","link")</f>
        <v>link</v>
      </c>
    </row>
    <row r="17" spans="1:38">
      <c r="A17">
        <v>10390953</v>
      </c>
      <c r="B17" t="s">
        <v>172</v>
      </c>
      <c r="C17" s="3">
        <v>34455</v>
      </c>
      <c r="D17" t="s">
        <v>39</v>
      </c>
      <c r="E17" t="s">
        <v>173</v>
      </c>
      <c r="F17" s="4" t="str">
        <f>HYPERLINK("https://ssb.ee/10390953-ID/otsustajad-kasusaajad","link")</f>
        <v>link</v>
      </c>
      <c r="G17" t="s">
        <v>174</v>
      </c>
      <c r="H17" t="s">
        <v>175</v>
      </c>
      <c r="I17" s="4" t="str">
        <f>HYPERLINK("https://www.hilti.com/ ","link")</f>
        <v>link</v>
      </c>
      <c r="J17" t="s">
        <v>43</v>
      </c>
      <c r="K17" t="s">
        <v>176</v>
      </c>
      <c r="L17" t="s">
        <v>177</v>
      </c>
      <c r="M17" s="4" t="str">
        <f>HYPERLINK("https://ssb.ee/10390953-ID/meedia-arvamuslood","link")</f>
        <v>link</v>
      </c>
      <c r="N17" t="s">
        <v>178</v>
      </c>
      <c r="O17" s="5">
        <v>34455</v>
      </c>
      <c r="P17" t="s">
        <v>47</v>
      </c>
      <c r="Q17" s="6">
        <v>100000</v>
      </c>
      <c r="R17">
        <v>2021</v>
      </c>
      <c r="S17" s="7" t="s">
        <v>47</v>
      </c>
      <c r="T17" s="7" t="s">
        <v>47</v>
      </c>
      <c r="U17" s="7" t="s">
        <v>47</v>
      </c>
      <c r="V17">
        <v>0.01</v>
      </c>
      <c r="W17" s="8" t="s">
        <v>48</v>
      </c>
      <c r="X17" t="s">
        <v>49</v>
      </c>
      <c r="Y17" s="4" t="str">
        <f>HYPERLINK("https://ssb.ee/10390953-ID/kohustused-volad-kohtulahendid","link")</f>
        <v>link</v>
      </c>
      <c r="Z17">
        <v>8490</v>
      </c>
      <c r="AA17" s="4" t="str">
        <f>HYPERLINK("https://ssb.ee/10390953-ID/finantsid-varad-prognoosid","link")</f>
        <v>link</v>
      </c>
      <c r="AB17" s="6">
        <v>484720</v>
      </c>
      <c r="AC17" s="6">
        <v>121776</v>
      </c>
      <c r="AD17" s="6">
        <v>3661591</v>
      </c>
      <c r="AE17">
        <v>32</v>
      </c>
      <c r="AF17" s="6">
        <v>6994428</v>
      </c>
      <c r="AG17" s="6">
        <v>2270</v>
      </c>
      <c r="AH17" s="4" t="str">
        <f>HYPERLINK("https://ssb.ee/10390953-ID/tootajad-palgad","link")</f>
        <v>link</v>
      </c>
      <c r="AI17" t="s">
        <v>179</v>
      </c>
      <c r="AJ17">
        <v>0.20799999999999999</v>
      </c>
      <c r="AK17" s="9" t="s">
        <v>51</v>
      </c>
      <c r="AL17" s="4" t="str">
        <f>HYPERLINK("https://ssb.ee/juhatuse-liikme-cv?id=444184","link")</f>
        <v>link</v>
      </c>
    </row>
    <row r="18" spans="1:38">
      <c r="A18">
        <v>10007925</v>
      </c>
      <c r="B18" t="s">
        <v>180</v>
      </c>
      <c r="C18" s="3">
        <v>35080</v>
      </c>
      <c r="D18" t="s">
        <v>39</v>
      </c>
      <c r="E18" t="s">
        <v>181</v>
      </c>
      <c r="F18" s="4" t="str">
        <f>HYPERLINK("https://ssb.ee/10007925-ID/otsustajad-kasusaajad","link")</f>
        <v>link</v>
      </c>
      <c r="G18" t="s">
        <v>182</v>
      </c>
      <c r="H18" t="s">
        <v>183</v>
      </c>
      <c r="I18" s="4" t="str">
        <f>HYPERLINK("https://www.cista.ee/","link")</f>
        <v>link</v>
      </c>
      <c r="J18" t="s">
        <v>184</v>
      </c>
      <c r="K18" t="s">
        <v>185</v>
      </c>
      <c r="L18" t="s">
        <v>186</v>
      </c>
      <c r="M18" s="4" t="str">
        <f>HYPERLINK("https://ssb.ee/10007925-ID/meedia-arvamuslood","link")</f>
        <v>link</v>
      </c>
      <c r="N18" t="s">
        <v>187</v>
      </c>
      <c r="O18" s="5">
        <v>34335</v>
      </c>
      <c r="P18" t="s">
        <v>47</v>
      </c>
      <c r="Q18" s="6">
        <v>82400</v>
      </c>
      <c r="R18">
        <v>2020</v>
      </c>
      <c r="S18" s="7" t="s">
        <v>47</v>
      </c>
      <c r="T18" s="7" t="s">
        <v>47</v>
      </c>
      <c r="U18" s="7" t="s">
        <v>47</v>
      </c>
      <c r="V18">
        <v>0.01</v>
      </c>
      <c r="W18" s="8" t="s">
        <v>48</v>
      </c>
      <c r="X18" t="s">
        <v>49</v>
      </c>
      <c r="Y18" s="4" t="str">
        <f>HYPERLINK("https://ssb.ee/10007925-ID/kohustused-volad-kohtulahendid","link")</f>
        <v>link</v>
      </c>
      <c r="Z18">
        <v>7650</v>
      </c>
      <c r="AA18" s="4" t="str">
        <f>HYPERLINK("https://ssb.ee/10007925-ID/finantsid-varad-prognoosid","link")</f>
        <v>link</v>
      </c>
      <c r="AB18" s="6">
        <v>176146</v>
      </c>
      <c r="AC18" s="6">
        <v>104222</v>
      </c>
      <c r="AD18" s="6">
        <v>955528</v>
      </c>
      <c r="AE18">
        <v>54</v>
      </c>
      <c r="AF18" s="6">
        <v>3404280</v>
      </c>
      <c r="AG18" s="6">
        <v>1315</v>
      </c>
      <c r="AH18" s="4" t="str">
        <f>HYPERLINK("https://ssb.ee/10007925-ID/tootajad-palgad","link")</f>
        <v>link</v>
      </c>
      <c r="AI18" t="s">
        <v>188</v>
      </c>
      <c r="AJ18">
        <v>0.17199999999999999</v>
      </c>
      <c r="AK18" s="9" t="s">
        <v>51</v>
      </c>
      <c r="AL18" s="4" t="str">
        <f>HYPERLINK("https://ssb.ee/juhatuse-liikme-cv?id=299779","link")</f>
        <v>link</v>
      </c>
    </row>
    <row r="19" spans="1:38">
      <c r="A19">
        <v>12144804</v>
      </c>
      <c r="B19" t="s">
        <v>189</v>
      </c>
      <c r="C19" s="3">
        <v>40765</v>
      </c>
      <c r="D19" t="s">
        <v>39</v>
      </c>
      <c r="E19" t="s">
        <v>190</v>
      </c>
      <c r="F19" s="4" t="str">
        <f>HYPERLINK("https://ssb.ee/12144804-ID/otsustajad-kasusaajad","link")</f>
        <v>link</v>
      </c>
      <c r="G19" t="s">
        <v>191</v>
      </c>
      <c r="H19" t="s">
        <v>192</v>
      </c>
      <c r="I19" s="4" t="str">
        <f>HYPERLINK("http://sarles.ee","link")</f>
        <v>link</v>
      </c>
      <c r="J19" t="s">
        <v>143</v>
      </c>
      <c r="K19" t="s">
        <v>193</v>
      </c>
      <c r="L19" t="s">
        <v>194</v>
      </c>
      <c r="M19" s="4" t="str">
        <f>HYPERLINK("https://ssb.ee/12144804-ID/meedia-arvamuslood","link")</f>
        <v>link</v>
      </c>
      <c r="N19" t="s">
        <v>195</v>
      </c>
      <c r="O19" s="5">
        <v>40772</v>
      </c>
      <c r="P19" t="s">
        <v>47</v>
      </c>
      <c r="Q19" s="6">
        <v>100000</v>
      </c>
      <c r="R19">
        <v>2021</v>
      </c>
      <c r="S19" s="7" t="s">
        <v>47</v>
      </c>
      <c r="T19" s="7" t="s">
        <v>47</v>
      </c>
      <c r="U19" s="7" t="s">
        <v>47</v>
      </c>
      <c r="V19">
        <v>0.01</v>
      </c>
      <c r="W19" s="8" t="s">
        <v>48</v>
      </c>
      <c r="X19" t="s">
        <v>49</v>
      </c>
      <c r="Y19" s="4" t="str">
        <f>HYPERLINK("https://ssb.ee/12144804-ID/kohustused-volad-kohtulahendid","link")</f>
        <v>link</v>
      </c>
      <c r="Z19">
        <v>2160</v>
      </c>
      <c r="AA19" s="4" t="str">
        <f>HYPERLINK("https://ssb.ee/12144804-ID/finantsid-varad-prognoosid","link")</f>
        <v>link</v>
      </c>
      <c r="AB19" s="6">
        <v>65366</v>
      </c>
      <c r="AC19" s="6">
        <v>26998</v>
      </c>
      <c r="AD19" s="6">
        <v>1681829</v>
      </c>
      <c r="AE19">
        <v>10</v>
      </c>
      <c r="AF19" s="6">
        <v>5980853</v>
      </c>
      <c r="AG19" s="6">
        <v>1690</v>
      </c>
      <c r="AH19" s="4" t="str">
        <f>HYPERLINK("https://ssb.ee/12144804-ID/tootajad-palgad","link")</f>
        <v>link</v>
      </c>
      <c r="AI19" t="s">
        <v>196</v>
      </c>
      <c r="AJ19">
        <v>0.23799999999999999</v>
      </c>
      <c r="AK19" s="9" t="s">
        <v>51</v>
      </c>
      <c r="AL19" s="4" t="str">
        <f>HYPERLINK("https://ssb.ee/juhatuse-liikme-cv?id=299661","link")</f>
        <v>link</v>
      </c>
    </row>
    <row r="20" spans="1:38">
      <c r="A20">
        <v>11139497</v>
      </c>
      <c r="B20" t="s">
        <v>197</v>
      </c>
      <c r="C20" s="3">
        <v>38595</v>
      </c>
      <c r="D20" t="s">
        <v>39</v>
      </c>
      <c r="E20" t="s">
        <v>198</v>
      </c>
      <c r="F20" s="4" t="str">
        <f>HYPERLINK("https://ssb.ee/11139497-ID/otsustajad-kasusaajad","link")</f>
        <v>link</v>
      </c>
      <c r="G20" t="s">
        <v>199</v>
      </c>
      <c r="H20" t="s">
        <v>200</v>
      </c>
      <c r="I20" s="4" t="str">
        <f>HYPERLINK("https://bioservis.ee/ ","link")</f>
        <v>link</v>
      </c>
      <c r="J20" t="s">
        <v>201</v>
      </c>
      <c r="K20" t="s">
        <v>202</v>
      </c>
      <c r="L20" t="s">
        <v>203</v>
      </c>
      <c r="M20" s="4" t="str">
        <f>HYPERLINK("https://ssb.ee/11139497-ID/meedia-arvamuslood","link")</f>
        <v>link</v>
      </c>
      <c r="N20" t="s">
        <v>204</v>
      </c>
      <c r="O20" s="5">
        <v>38614</v>
      </c>
      <c r="P20" t="s">
        <v>47</v>
      </c>
      <c r="Q20" s="6">
        <v>97000</v>
      </c>
      <c r="R20">
        <v>2021</v>
      </c>
      <c r="S20" s="7" t="s">
        <v>47</v>
      </c>
      <c r="T20" s="7" t="s">
        <v>47</v>
      </c>
      <c r="U20" s="7" t="s">
        <v>47</v>
      </c>
      <c r="V20">
        <v>0.01</v>
      </c>
      <c r="W20" s="8" t="s">
        <v>48</v>
      </c>
      <c r="X20" t="s">
        <v>49</v>
      </c>
      <c r="Y20" s="4" t="str">
        <f>HYPERLINK("https://ssb.ee/11139497-ID/kohustused-volad-kohtulahendid","link")</f>
        <v>link</v>
      </c>
      <c r="Z20">
        <v>6570</v>
      </c>
      <c r="AA20" s="4" t="str">
        <f>HYPERLINK("https://ssb.ee/11139497-ID/finantsid-varad-prognoosid","link")</f>
        <v>link</v>
      </c>
      <c r="AB20" s="6">
        <v>189708</v>
      </c>
      <c r="AC20" s="6">
        <v>88200</v>
      </c>
      <c r="AD20" s="6">
        <v>1176516</v>
      </c>
      <c r="AE20">
        <v>44</v>
      </c>
      <c r="AF20" s="6">
        <v>2600756</v>
      </c>
      <c r="AG20" s="6">
        <v>1390</v>
      </c>
      <c r="AH20" s="4" t="str">
        <f>HYPERLINK("https://ssb.ee/11139497-ID/tootajad-palgad","link")</f>
        <v>link</v>
      </c>
      <c r="AI20" t="s">
        <v>205</v>
      </c>
      <c r="AJ20">
        <v>0.01</v>
      </c>
      <c r="AK20" s="8" t="s">
        <v>48</v>
      </c>
      <c r="AL20" s="4" t="str">
        <f>HYPERLINK("https://ssb.ee/juhatuse-liikme-cv?id=294767","link")</f>
        <v>link</v>
      </c>
    </row>
    <row r="21" spans="1:38">
      <c r="A21">
        <v>75008953</v>
      </c>
      <c r="B21" t="s">
        <v>206</v>
      </c>
      <c r="C21" s="3">
        <v>37392</v>
      </c>
      <c r="D21" t="s">
        <v>39</v>
      </c>
      <c r="E21" t="s">
        <v>207</v>
      </c>
      <c r="F21" s="4" t="str">
        <f>HYPERLINK("https://ssb.ee/75008953-ID/otsustajad-kasusaajad","link")</f>
        <v>link</v>
      </c>
      <c r="G21" t="s">
        <v>208</v>
      </c>
      <c r="H21" t="s">
        <v>209</v>
      </c>
      <c r="I21" s="4" t="str">
        <f>HYPERLINK("http://kadriorupark.ee/park ","link")</f>
        <v>link</v>
      </c>
      <c r="J21" t="s">
        <v>210</v>
      </c>
      <c r="K21" t="s">
        <v>211</v>
      </c>
      <c r="L21" t="s">
        <v>212</v>
      </c>
      <c r="M21" s="4" t="str">
        <f>HYPERLINK("https://ssb.ee/75008953-ID/meedia-arvamuslood","link")</f>
        <v>link</v>
      </c>
      <c r="N21" t="s">
        <v>213</v>
      </c>
      <c r="O21" s="5">
        <v>37469</v>
      </c>
      <c r="P21" t="s">
        <v>47</v>
      </c>
      <c r="Q21" s="6">
        <v>51500</v>
      </c>
      <c r="R21" t="s">
        <v>47</v>
      </c>
      <c r="S21" s="7" t="s">
        <v>47</v>
      </c>
      <c r="T21" s="7" t="s">
        <v>47</v>
      </c>
      <c r="U21" s="7" t="s">
        <v>47</v>
      </c>
      <c r="V21">
        <v>0.01</v>
      </c>
      <c r="W21" s="8" t="s">
        <v>48</v>
      </c>
      <c r="X21" t="s">
        <v>49</v>
      </c>
      <c r="Y21" s="4" t="str">
        <f>HYPERLINK("https://ssb.ee/75008953-ID/kohustused-volad-kohtulahendid","link")</f>
        <v>link</v>
      </c>
      <c r="Z21">
        <v>7680</v>
      </c>
      <c r="AA21" s="4" t="str">
        <f>HYPERLINK("https://ssb.ee/75008953-ID/finantsid-varad-prognoosid","link")</f>
        <v>link</v>
      </c>
      <c r="AB21" s="6">
        <v>220984</v>
      </c>
      <c r="AC21" s="6">
        <v>230343</v>
      </c>
      <c r="AD21" s="6">
        <v>320682</v>
      </c>
      <c r="AE21">
        <v>137</v>
      </c>
      <c r="AF21" s="6">
        <v>1165972</v>
      </c>
      <c r="AG21" s="6">
        <v>1170</v>
      </c>
      <c r="AH21" s="4" t="str">
        <f>HYPERLINK("https://ssb.ee/75008953-ID/tootajad-palgad","link")</f>
        <v>link</v>
      </c>
      <c r="AI21" t="s">
        <v>214</v>
      </c>
      <c r="AJ21">
        <v>7.0000000000000001E-3</v>
      </c>
      <c r="AK21" s="8" t="s">
        <v>48</v>
      </c>
      <c r="AL21" s="4" t="str">
        <f>HYPERLINK("https://ssb.ee/juhatuse-liikme-cv?id=526849","link")</f>
        <v>link</v>
      </c>
    </row>
    <row r="22" spans="1:38">
      <c r="A22">
        <v>11655017</v>
      </c>
      <c r="B22" t="s">
        <v>215</v>
      </c>
      <c r="C22" s="3">
        <v>39968</v>
      </c>
      <c r="D22" t="s">
        <v>39</v>
      </c>
      <c r="E22" t="s">
        <v>216</v>
      </c>
      <c r="F22" s="4" t="str">
        <f>HYPERLINK("https://ssb.ee/11655017-ID/otsustajad-kasusaajad","link")</f>
        <v>link</v>
      </c>
      <c r="G22" t="s">
        <v>217</v>
      </c>
      <c r="H22" t="s">
        <v>47</v>
      </c>
      <c r="I22" s="4" t="str">
        <f>HYPERLINK("https://www.jrebel.com/ ","link")</f>
        <v>link</v>
      </c>
      <c r="J22" t="s">
        <v>118</v>
      </c>
      <c r="K22" t="s">
        <v>119</v>
      </c>
      <c r="L22" t="s">
        <v>120</v>
      </c>
      <c r="M22" s="4" t="str">
        <f>HYPERLINK("https://ssb.ee/11655017-ID/meedia-arvamuslood","link")</f>
        <v>link</v>
      </c>
      <c r="N22" t="s">
        <v>218</v>
      </c>
      <c r="O22" s="5">
        <v>40086</v>
      </c>
      <c r="P22" t="s">
        <v>47</v>
      </c>
      <c r="Q22" s="6">
        <v>100000</v>
      </c>
      <c r="R22">
        <v>2020</v>
      </c>
      <c r="S22" s="7" t="s">
        <v>47</v>
      </c>
      <c r="T22" s="7" t="s">
        <v>47</v>
      </c>
      <c r="U22" s="7" t="s">
        <v>47</v>
      </c>
      <c r="V22">
        <v>0.01</v>
      </c>
      <c r="W22" s="8" t="s">
        <v>48</v>
      </c>
      <c r="X22" t="s">
        <v>49</v>
      </c>
      <c r="Y22" s="4" t="str">
        <f>HYPERLINK("https://ssb.ee/11655017-ID/kohustused-volad-kohtulahendid","link")</f>
        <v>link</v>
      </c>
      <c r="Z22">
        <v>6450</v>
      </c>
      <c r="AA22" s="4" t="str">
        <f>HYPERLINK("https://ssb.ee/11655017-ID/finantsid-varad-prognoosid","link")</f>
        <v>link</v>
      </c>
      <c r="AB22" s="6">
        <v>564667</v>
      </c>
      <c r="AC22" s="6">
        <v>584897</v>
      </c>
      <c r="AD22" s="6">
        <v>3477178</v>
      </c>
      <c r="AE22">
        <v>68</v>
      </c>
      <c r="AF22" s="6">
        <v>14344975</v>
      </c>
      <c r="AG22" s="6">
        <v>5060</v>
      </c>
      <c r="AH22" s="4" t="str">
        <f>HYPERLINK("https://ssb.ee/11655017-ID/tootajad-palgad","link")</f>
        <v>link</v>
      </c>
      <c r="AI22" t="s">
        <v>219</v>
      </c>
      <c r="AJ22">
        <v>0.01</v>
      </c>
      <c r="AK22" s="8" t="s">
        <v>48</v>
      </c>
      <c r="AL22" s="4" t="str">
        <f>HYPERLINK("https://ssb.ee/juhatuse-liikme-cv?id=2087356","link")</f>
        <v>link</v>
      </c>
    </row>
    <row r="23" spans="1:38">
      <c r="A23">
        <v>10194979</v>
      </c>
      <c r="B23" t="s">
        <v>220</v>
      </c>
      <c r="C23" s="3">
        <v>35494</v>
      </c>
      <c r="D23" t="s">
        <v>39</v>
      </c>
      <c r="E23" t="s">
        <v>221</v>
      </c>
      <c r="F23" s="4" t="str">
        <f>HYPERLINK("https://ssb.ee/10194979-ID/otsustajad-kasusaajad","link")</f>
        <v>link</v>
      </c>
      <c r="G23" t="s">
        <v>222</v>
      </c>
      <c r="H23" t="s">
        <v>223</v>
      </c>
      <c r="I23" s="4" t="str">
        <f>HYPERLINK("http://geo.ee","link")</f>
        <v>link</v>
      </c>
      <c r="J23" t="s">
        <v>224</v>
      </c>
      <c r="K23" t="s">
        <v>225</v>
      </c>
      <c r="L23" t="s">
        <v>226</v>
      </c>
      <c r="M23" s="4" t="str">
        <f>HYPERLINK("https://ssb.ee/10194979-ID/meedia-arvamuslood","link")</f>
        <v>link</v>
      </c>
      <c r="N23" t="s">
        <v>227</v>
      </c>
      <c r="O23" s="5">
        <v>35735</v>
      </c>
      <c r="P23" t="s">
        <v>47</v>
      </c>
      <c r="Q23" s="6">
        <v>12400</v>
      </c>
      <c r="R23">
        <v>2021</v>
      </c>
      <c r="S23" s="7" t="s">
        <v>47</v>
      </c>
      <c r="T23" s="7" t="s">
        <v>47</v>
      </c>
      <c r="U23" s="7" t="s">
        <v>47</v>
      </c>
      <c r="V23">
        <v>0.01</v>
      </c>
      <c r="W23" s="8" t="s">
        <v>48</v>
      </c>
      <c r="X23" t="s">
        <v>49</v>
      </c>
      <c r="Y23" s="4" t="str">
        <f>HYPERLINK("https://ssb.ee/10194979-ID/kohustused-volad-kohtulahendid","link")</f>
        <v>link</v>
      </c>
      <c r="Z23">
        <v>2080</v>
      </c>
      <c r="AA23" s="4" t="str">
        <f>HYPERLINK("https://ssb.ee/10194979-ID/finantsid-varad-prognoosid","link")</f>
        <v>link</v>
      </c>
      <c r="AB23" s="6">
        <v>46485</v>
      </c>
      <c r="AC23" s="6">
        <v>38227</v>
      </c>
      <c r="AD23" s="6">
        <v>101374</v>
      </c>
      <c r="AE23">
        <v>12</v>
      </c>
      <c r="AF23" s="6">
        <v>621254</v>
      </c>
      <c r="AG23" s="6">
        <v>1920</v>
      </c>
      <c r="AH23" s="4" t="str">
        <f>HYPERLINK("https://ssb.ee/10194979-ID/tootajad-palgad","link")</f>
        <v>link</v>
      </c>
      <c r="AI23" t="s">
        <v>228</v>
      </c>
      <c r="AJ23">
        <v>0.01</v>
      </c>
      <c r="AK23" s="8" t="s">
        <v>48</v>
      </c>
      <c r="AL23" s="4" t="str">
        <f>HYPERLINK("https://ssb.ee/juhatuse-liikme-cv?id=303979","link")</f>
        <v>link</v>
      </c>
    </row>
    <row r="24" spans="1:38">
      <c r="A24">
        <v>12131598</v>
      </c>
      <c r="B24" t="s">
        <v>229</v>
      </c>
      <c r="C24" s="3">
        <v>40732</v>
      </c>
      <c r="D24" t="s">
        <v>39</v>
      </c>
      <c r="E24" t="s">
        <v>230</v>
      </c>
      <c r="F24" s="4" t="str">
        <f>HYPERLINK("https://ssb.ee/12131598-ID/otsustajad-kasusaajad","link")</f>
        <v>link</v>
      </c>
      <c r="G24" t="s">
        <v>231</v>
      </c>
      <c r="H24" t="s">
        <v>232</v>
      </c>
      <c r="I24" s="4" t="str">
        <f>HYPERLINK("https://www.epiim.ee/","link")</f>
        <v>link</v>
      </c>
      <c r="J24" t="s">
        <v>184</v>
      </c>
      <c r="K24" t="s">
        <v>233</v>
      </c>
      <c r="L24" t="s">
        <v>234</v>
      </c>
      <c r="M24" s="4" t="str">
        <f>HYPERLINK("https://ssb.ee/12131598-ID/meedia-arvamuslood","link")</f>
        <v>link</v>
      </c>
      <c r="N24" t="s">
        <v>235</v>
      </c>
      <c r="O24" s="5">
        <v>40878</v>
      </c>
      <c r="P24" t="s">
        <v>47</v>
      </c>
      <c r="Q24" s="6">
        <v>100000</v>
      </c>
      <c r="R24">
        <v>2021</v>
      </c>
      <c r="S24" s="7" t="s">
        <v>47</v>
      </c>
      <c r="T24" s="7" t="s">
        <v>47</v>
      </c>
      <c r="U24" s="7" t="s">
        <v>47</v>
      </c>
      <c r="V24">
        <v>0.01</v>
      </c>
      <c r="W24" s="8" t="s">
        <v>48</v>
      </c>
      <c r="X24" t="s">
        <v>49</v>
      </c>
      <c r="Y24" s="4" t="str">
        <f>HYPERLINK("https://ssb.ee/12131598-ID/kohustused-volad-kohtulahendid","link")</f>
        <v>link</v>
      </c>
      <c r="Z24">
        <v>37040</v>
      </c>
      <c r="AA24" s="4" t="str">
        <f>HYPERLINK("https://ssb.ee/12131598-ID/finantsid-varad-prognoosid","link")</f>
        <v>link</v>
      </c>
      <c r="AB24" s="6" t="s">
        <v>47</v>
      </c>
      <c r="AC24" s="6">
        <v>354835</v>
      </c>
      <c r="AD24" s="6">
        <v>24185346</v>
      </c>
      <c r="AE24">
        <v>166</v>
      </c>
      <c r="AF24" s="6">
        <v>80473453</v>
      </c>
      <c r="AG24" s="6">
        <v>1465</v>
      </c>
      <c r="AH24" s="4" t="str">
        <f>HYPERLINK("https://ssb.ee/12131598-ID/tootajad-palgad","link")</f>
        <v>link</v>
      </c>
      <c r="AI24" t="s">
        <v>236</v>
      </c>
      <c r="AJ24">
        <v>0.246</v>
      </c>
      <c r="AK24" s="9" t="s">
        <v>51</v>
      </c>
      <c r="AL24" s="4" t="str">
        <f>HYPERLINK("https://ssb.ee/juhatuse-liikme-cv?id=293013","link")</f>
        <v>link</v>
      </c>
    </row>
    <row r="25" spans="1:38">
      <c r="A25">
        <v>10224864</v>
      </c>
      <c r="B25" t="s">
        <v>237</v>
      </c>
      <c r="C25" s="3">
        <v>34335</v>
      </c>
      <c r="D25" t="s">
        <v>39</v>
      </c>
      <c r="E25" t="s">
        <v>238</v>
      </c>
      <c r="F25" s="4" t="str">
        <f>HYPERLINK("https://ssb.ee/10224864-ID/otsustajad-kasusaajad","link")</f>
        <v>link</v>
      </c>
      <c r="G25" t="s">
        <v>239</v>
      </c>
      <c r="H25" t="s">
        <v>240</v>
      </c>
      <c r="I25" s="4" t="str">
        <f>HYPERLINK("https://www.leibur.ee/","link")</f>
        <v>link</v>
      </c>
      <c r="J25" t="s">
        <v>43</v>
      </c>
      <c r="K25" t="s">
        <v>241</v>
      </c>
      <c r="L25" t="s">
        <v>242</v>
      </c>
      <c r="M25" s="4" t="str">
        <f>HYPERLINK("https://ssb.ee/10224864-ID/meedia-arvamuslood","link")</f>
        <v>link</v>
      </c>
      <c r="N25" t="s">
        <v>243</v>
      </c>
      <c r="O25" s="5">
        <v>34335</v>
      </c>
      <c r="P25" t="s">
        <v>47</v>
      </c>
      <c r="Q25" s="6">
        <v>100000</v>
      </c>
      <c r="R25">
        <v>2020</v>
      </c>
      <c r="S25" s="7" t="s">
        <v>47</v>
      </c>
      <c r="T25" s="7" t="s">
        <v>47</v>
      </c>
      <c r="U25" s="7" t="s">
        <v>47</v>
      </c>
      <c r="V25">
        <v>0.01</v>
      </c>
      <c r="W25" s="8" t="s">
        <v>48</v>
      </c>
      <c r="X25" t="s">
        <v>49</v>
      </c>
      <c r="Y25" s="4" t="str">
        <f>HYPERLINK("https://ssb.ee/10224864-ID/kohustused-volad-kohtulahendid","link")</f>
        <v>link</v>
      </c>
      <c r="Z25">
        <v>24400</v>
      </c>
      <c r="AA25" s="4" t="str">
        <f>HYPERLINK("https://ssb.ee/10224864-ID/finantsid-varad-prognoosid","link")</f>
        <v>link</v>
      </c>
      <c r="AB25" s="6">
        <v>529229</v>
      </c>
      <c r="AC25" s="6">
        <v>549253</v>
      </c>
      <c r="AD25" s="6">
        <v>10204057</v>
      </c>
      <c r="AE25">
        <v>204</v>
      </c>
      <c r="AF25" s="6">
        <v>30472910</v>
      </c>
      <c r="AG25" s="6">
        <v>1690</v>
      </c>
      <c r="AH25" s="4" t="str">
        <f>HYPERLINK("https://ssb.ee/10224864-ID/tootajad-palgad","link")</f>
        <v>link</v>
      </c>
      <c r="AI25" t="s">
        <v>244</v>
      </c>
      <c r="AJ25">
        <v>0.126</v>
      </c>
      <c r="AK25" s="8" t="s">
        <v>48</v>
      </c>
      <c r="AL25" s="4" t="str">
        <f>HYPERLINK("https://ssb.ee/juhatuse-liikme-cv?id=369048","link")</f>
        <v>link</v>
      </c>
    </row>
    <row r="26" spans="1:38">
      <c r="A26">
        <v>10373825</v>
      </c>
      <c r="B26" t="s">
        <v>245</v>
      </c>
      <c r="C26" s="3">
        <v>35851</v>
      </c>
      <c r="D26" t="s">
        <v>39</v>
      </c>
      <c r="E26" t="s">
        <v>246</v>
      </c>
      <c r="F26" s="4" t="str">
        <f>HYPERLINK("https://ssb.ee/10373825-ID/otsustajad-kasusaajad","link")</f>
        <v>link</v>
      </c>
      <c r="G26" t="s">
        <v>247</v>
      </c>
      <c r="H26" t="s">
        <v>248</v>
      </c>
      <c r="I26" s="4" t="str">
        <f>HYPERLINK("https://parnuauto.ee/","link")</f>
        <v>link</v>
      </c>
      <c r="J26" t="s">
        <v>74</v>
      </c>
      <c r="K26" t="s">
        <v>249</v>
      </c>
      <c r="L26" t="s">
        <v>250</v>
      </c>
      <c r="M26" s="4" t="str">
        <f>HYPERLINK("https://ssb.ee/10373825-ID/meedia-arvamuslood","link")</f>
        <v>link</v>
      </c>
      <c r="N26" t="s">
        <v>251</v>
      </c>
      <c r="O26" s="5">
        <v>35855</v>
      </c>
      <c r="P26" t="s">
        <v>47</v>
      </c>
      <c r="Q26" s="6">
        <v>16200</v>
      </c>
      <c r="R26">
        <v>2021</v>
      </c>
      <c r="S26" s="7" t="s">
        <v>47</v>
      </c>
      <c r="T26" s="7" t="s">
        <v>47</v>
      </c>
      <c r="U26" s="7" t="s">
        <v>47</v>
      </c>
      <c r="V26">
        <v>0.01</v>
      </c>
      <c r="W26" s="8" t="s">
        <v>48</v>
      </c>
      <c r="X26" t="s">
        <v>49</v>
      </c>
      <c r="Y26" s="4" t="str">
        <f>HYPERLINK("https://ssb.ee/10373825-ID/kohustused-volad-kohtulahendid","link")</f>
        <v>link</v>
      </c>
      <c r="Z26">
        <v>3210</v>
      </c>
      <c r="AA26" s="4" t="str">
        <f>HYPERLINK("https://ssb.ee/10373825-ID/finantsid-varad-prognoosid","link")</f>
        <v>link</v>
      </c>
      <c r="AB26" s="6">
        <v>26556</v>
      </c>
      <c r="AC26" s="6">
        <v>10945</v>
      </c>
      <c r="AD26" s="6">
        <v>206049</v>
      </c>
      <c r="AE26">
        <v>10</v>
      </c>
      <c r="AF26" s="6">
        <v>799785</v>
      </c>
      <c r="AG26" s="6">
        <v>840</v>
      </c>
      <c r="AH26" s="4" t="str">
        <f>HYPERLINK("https://ssb.ee/10373825-ID/tootajad-palgad","link")</f>
        <v>link</v>
      </c>
      <c r="AI26" t="s">
        <v>252</v>
      </c>
      <c r="AJ26">
        <v>0.01</v>
      </c>
      <c r="AK26" s="8" t="s">
        <v>48</v>
      </c>
      <c r="AL26" s="4" t="str">
        <f>HYPERLINK("https://ssb.ee/juhatuse-liikme-cv?id=280285","link")</f>
        <v>link</v>
      </c>
    </row>
    <row r="27" spans="1:38">
      <c r="A27">
        <v>10711570</v>
      </c>
      <c r="B27" t="s">
        <v>253</v>
      </c>
      <c r="C27" s="3">
        <v>36852</v>
      </c>
      <c r="D27" t="s">
        <v>39</v>
      </c>
      <c r="E27" t="s">
        <v>254</v>
      </c>
      <c r="F27" s="4" t="str">
        <f>HYPERLINK("https://ssb.ee/10711570-ID/otsustajad-kasusaajad","link")</f>
        <v>link</v>
      </c>
      <c r="G27" t="s">
        <v>255</v>
      </c>
      <c r="H27" t="s">
        <v>256</v>
      </c>
      <c r="I27" s="4" t="str">
        <f>HYPERLINK("http://brentex.eu/","link")</f>
        <v>link</v>
      </c>
      <c r="J27" t="s">
        <v>92</v>
      </c>
      <c r="K27" t="s">
        <v>93</v>
      </c>
      <c r="L27" t="s">
        <v>94</v>
      </c>
      <c r="M27" s="4" t="str">
        <f>HYPERLINK("https://ssb.ee/10711570-ID/meedia-arvamuslood","link")</f>
        <v>link</v>
      </c>
      <c r="N27" t="s">
        <v>257</v>
      </c>
      <c r="O27" s="5">
        <v>36861</v>
      </c>
      <c r="P27" t="s">
        <v>47</v>
      </c>
      <c r="Q27" s="6">
        <v>100000</v>
      </c>
      <c r="R27">
        <v>2021</v>
      </c>
      <c r="S27" s="7" t="s">
        <v>47</v>
      </c>
      <c r="T27" s="7" t="s">
        <v>47</v>
      </c>
      <c r="U27" s="7" t="s">
        <v>47</v>
      </c>
      <c r="V27">
        <v>0.01</v>
      </c>
      <c r="W27" s="8" t="s">
        <v>48</v>
      </c>
      <c r="X27" t="s">
        <v>49</v>
      </c>
      <c r="Y27" s="4" t="str">
        <f>HYPERLINK("https://ssb.ee/10711570-ID/kohustused-volad-kohtulahendid","link")</f>
        <v>link</v>
      </c>
      <c r="Z27">
        <v>5310</v>
      </c>
      <c r="AA27" s="4" t="str">
        <f>HYPERLINK("https://ssb.ee/10711570-ID/finantsid-varad-prognoosid","link")</f>
        <v>link</v>
      </c>
      <c r="AB27" s="6">
        <v>74657</v>
      </c>
      <c r="AC27" s="6">
        <v>61313</v>
      </c>
      <c r="AD27" s="6">
        <v>2287589</v>
      </c>
      <c r="AE27">
        <v>19</v>
      </c>
      <c r="AF27" s="6">
        <v>4834460</v>
      </c>
      <c r="AG27" s="6">
        <v>1995</v>
      </c>
      <c r="AH27" s="4" t="str">
        <f>HYPERLINK("https://ssb.ee/10711570-ID/tootajad-palgad","link")</f>
        <v>link</v>
      </c>
      <c r="AI27" t="s">
        <v>258</v>
      </c>
      <c r="AJ27">
        <v>0.01</v>
      </c>
      <c r="AK27" s="8" t="s">
        <v>48</v>
      </c>
      <c r="AL27" s="4" t="str">
        <f>HYPERLINK("https://ssb.ee/juhatuse-liikme-cv?id=291957","link")</f>
        <v>link</v>
      </c>
    </row>
    <row r="28" spans="1:38">
      <c r="A28">
        <v>10077564</v>
      </c>
      <c r="B28" t="s">
        <v>259</v>
      </c>
      <c r="C28" s="3">
        <v>35383</v>
      </c>
      <c r="D28" t="s">
        <v>39</v>
      </c>
      <c r="E28" t="s">
        <v>260</v>
      </c>
      <c r="F28" s="4" t="str">
        <f>HYPERLINK("https://ssb.ee/10077564-ID/otsustajad-kasusaajad","link")</f>
        <v>link</v>
      </c>
      <c r="G28" t="s">
        <v>261</v>
      </c>
      <c r="H28" t="s">
        <v>262</v>
      </c>
      <c r="I28" s="4" t="str">
        <f>HYPERLINK("https://espak.ee/ ","link")</f>
        <v>link</v>
      </c>
      <c r="J28" t="s">
        <v>43</v>
      </c>
      <c r="K28" t="s">
        <v>263</v>
      </c>
      <c r="L28" t="s">
        <v>264</v>
      </c>
      <c r="M28" s="4" t="str">
        <f>HYPERLINK("https://ssb.ee/10077564-ID/meedia-arvamuslood","link")</f>
        <v>link</v>
      </c>
      <c r="N28" t="s">
        <v>265</v>
      </c>
      <c r="O28" s="5">
        <v>34335</v>
      </c>
      <c r="P28" t="s">
        <v>47</v>
      </c>
      <c r="Q28" s="6">
        <v>100000</v>
      </c>
      <c r="R28">
        <v>2021</v>
      </c>
      <c r="S28" s="7" t="s">
        <v>47</v>
      </c>
      <c r="T28" s="7" t="s">
        <v>47</v>
      </c>
      <c r="U28" s="7" t="s">
        <v>47</v>
      </c>
      <c r="V28">
        <v>0.01</v>
      </c>
      <c r="W28" s="8" t="s">
        <v>48</v>
      </c>
      <c r="X28" t="s">
        <v>49</v>
      </c>
      <c r="Y28" s="4" t="str">
        <f>HYPERLINK("https://ssb.ee/10077564-ID/kohustused-volad-kohtulahendid","link")</f>
        <v>link</v>
      </c>
      <c r="Z28">
        <v>46220</v>
      </c>
      <c r="AA28" s="4" t="str">
        <f>HYPERLINK("https://ssb.ee/10077564-ID/finantsid-varad-prognoosid","link")</f>
        <v>link</v>
      </c>
      <c r="AB28" s="6">
        <v>1432924</v>
      </c>
      <c r="AC28" s="6">
        <v>614438</v>
      </c>
      <c r="AD28" s="6">
        <v>29813398</v>
      </c>
      <c r="AE28">
        <v>240</v>
      </c>
      <c r="AF28" s="6">
        <v>81975981</v>
      </c>
      <c r="AG28" s="6">
        <v>1615</v>
      </c>
      <c r="AH28" s="4" t="str">
        <f>HYPERLINK("https://ssb.ee/10077564-ID/tootajad-palgad","link")</f>
        <v>link</v>
      </c>
      <c r="AI28" t="s">
        <v>266</v>
      </c>
      <c r="AJ28">
        <v>0.01</v>
      </c>
      <c r="AK28" s="8" t="s">
        <v>48</v>
      </c>
      <c r="AL28" s="4" t="str">
        <f>HYPERLINK("https://ssb.ee/juhatuse-liikme-cv?id=277813","link")</f>
        <v>link</v>
      </c>
    </row>
    <row r="29" spans="1:38">
      <c r="A29">
        <v>10158185</v>
      </c>
      <c r="B29" t="s">
        <v>267</v>
      </c>
      <c r="C29" s="3">
        <v>35543</v>
      </c>
      <c r="D29" t="s">
        <v>39</v>
      </c>
      <c r="E29" t="s">
        <v>268</v>
      </c>
      <c r="F29" s="4" t="str">
        <f>HYPERLINK("https://ssb.ee/10158185-ID/otsustajad-kasusaajad","link")</f>
        <v>link</v>
      </c>
      <c r="G29" t="s">
        <v>269</v>
      </c>
      <c r="H29" t="s">
        <v>270</v>
      </c>
      <c r="I29" s="4" t="str">
        <f>HYPERLINK("https://inestmarket.ee/","link")</f>
        <v>link</v>
      </c>
      <c r="J29" t="s">
        <v>43</v>
      </c>
      <c r="K29" t="s">
        <v>271</v>
      </c>
      <c r="L29" t="s">
        <v>272</v>
      </c>
      <c r="M29" s="4" t="str">
        <f>HYPERLINK("https://ssb.ee/10158185-ID/meedia-arvamuslood","link")</f>
        <v>link</v>
      </c>
      <c r="N29" t="s">
        <v>273</v>
      </c>
      <c r="O29" s="5">
        <v>34394</v>
      </c>
      <c r="P29" t="s">
        <v>47</v>
      </c>
      <c r="Q29" s="6">
        <v>42000</v>
      </c>
      <c r="R29">
        <v>2021</v>
      </c>
      <c r="S29" s="7" t="s">
        <v>47</v>
      </c>
      <c r="T29" s="7" t="s">
        <v>47</v>
      </c>
      <c r="U29" s="7" t="s">
        <v>47</v>
      </c>
      <c r="V29">
        <v>0.01</v>
      </c>
      <c r="W29" s="8" t="s">
        <v>48</v>
      </c>
      <c r="X29" t="s">
        <v>49</v>
      </c>
      <c r="Y29" s="4" t="str">
        <f>HYPERLINK("https://ssb.ee/10158185-ID/kohustused-volad-kohtulahendid","link")</f>
        <v>link</v>
      </c>
      <c r="Z29">
        <v>4680</v>
      </c>
      <c r="AA29" s="4" t="str">
        <f>HYPERLINK("https://ssb.ee/10158185-ID/finantsid-varad-prognoosid","link")</f>
        <v>link</v>
      </c>
      <c r="AB29" s="6">
        <v>89165</v>
      </c>
      <c r="AC29" s="6">
        <v>40265</v>
      </c>
      <c r="AD29" s="6">
        <v>500743</v>
      </c>
      <c r="AE29">
        <v>35</v>
      </c>
      <c r="AF29" s="6">
        <v>3136864</v>
      </c>
      <c r="AG29" s="6">
        <v>910</v>
      </c>
      <c r="AH29" s="4" t="str">
        <f>HYPERLINK("https://ssb.ee/10158185-ID/tootajad-palgad","link")</f>
        <v>link</v>
      </c>
      <c r="AI29" t="s">
        <v>274</v>
      </c>
      <c r="AJ29">
        <v>0.01</v>
      </c>
      <c r="AK29" s="8" t="s">
        <v>48</v>
      </c>
      <c r="AL29" s="4" t="str">
        <f>HYPERLINK("https://ssb.ee/juhatuse-liikme-cv?id=271431","link")</f>
        <v>link</v>
      </c>
    </row>
    <row r="30" spans="1:38">
      <c r="A30">
        <v>10339701</v>
      </c>
      <c r="B30" t="s">
        <v>275</v>
      </c>
      <c r="C30" s="3">
        <v>34335</v>
      </c>
      <c r="D30" t="s">
        <v>39</v>
      </c>
      <c r="E30" t="s">
        <v>276</v>
      </c>
      <c r="F30" s="4" t="str">
        <f>HYPERLINK("https://ssb.ee/10339701-ID/otsustajad-kasusaajad","link")</f>
        <v>link</v>
      </c>
      <c r="G30" t="s">
        <v>277</v>
      </c>
      <c r="H30" t="s">
        <v>278</v>
      </c>
      <c r="I30" s="4" t="str">
        <f>HYPERLINK("http://katelapuit.ee","link")</f>
        <v>link</v>
      </c>
      <c r="J30" t="s">
        <v>184</v>
      </c>
      <c r="K30" t="s">
        <v>279</v>
      </c>
      <c r="L30" t="s">
        <v>280</v>
      </c>
      <c r="M30" s="4" t="str">
        <f>HYPERLINK("https://ssb.ee/10339701-ID/meedia-arvamuslood","link")</f>
        <v>link</v>
      </c>
      <c r="N30" t="s">
        <v>281</v>
      </c>
      <c r="O30" s="5">
        <v>34335</v>
      </c>
      <c r="P30" t="s">
        <v>47</v>
      </c>
      <c r="Q30" s="6">
        <v>43800</v>
      </c>
      <c r="R30">
        <v>2021</v>
      </c>
      <c r="S30" s="7" t="s">
        <v>47</v>
      </c>
      <c r="T30" s="7" t="s">
        <v>47</v>
      </c>
      <c r="U30" s="7" t="s">
        <v>47</v>
      </c>
      <c r="V30">
        <v>0.01</v>
      </c>
      <c r="W30" s="8" t="s">
        <v>48</v>
      </c>
      <c r="X30" t="s">
        <v>49</v>
      </c>
      <c r="Y30" s="4" t="str">
        <f>HYPERLINK("https://ssb.ee/10339701-ID/kohustused-volad-kohtulahendid","link")</f>
        <v>link</v>
      </c>
      <c r="Z30">
        <v>2140</v>
      </c>
      <c r="AA30" s="4" t="str">
        <f>HYPERLINK("https://ssb.ee/10339701-ID/finantsid-varad-prognoosid","link")</f>
        <v>link</v>
      </c>
      <c r="AB30" s="6">
        <v>76930</v>
      </c>
      <c r="AC30" s="6">
        <v>30036</v>
      </c>
      <c r="AD30" s="6">
        <v>550350</v>
      </c>
      <c r="AE30">
        <v>27</v>
      </c>
      <c r="AF30" s="6">
        <v>1485666</v>
      </c>
      <c r="AG30" s="6">
        <v>840</v>
      </c>
      <c r="AH30" s="4" t="str">
        <f>HYPERLINK("https://ssb.ee/10339701-ID/tootajad-palgad","link")</f>
        <v>link</v>
      </c>
      <c r="AI30" t="s">
        <v>282</v>
      </c>
      <c r="AJ30">
        <v>0.01</v>
      </c>
      <c r="AK30" s="8" t="s">
        <v>48</v>
      </c>
      <c r="AL30" s="4" t="str">
        <f>HYPERLINK("https://ssb.ee/juhatuse-liikme-cv?id=278982","link")</f>
        <v>link</v>
      </c>
    </row>
    <row r="31" spans="1:38">
      <c r="A31">
        <v>14172638</v>
      </c>
      <c r="B31" t="s">
        <v>283</v>
      </c>
      <c r="C31" s="3">
        <v>42725</v>
      </c>
      <c r="D31" t="s">
        <v>39</v>
      </c>
      <c r="E31" t="s">
        <v>284</v>
      </c>
      <c r="F31" s="4" t="str">
        <f>HYPERLINK("https://ssb.ee/14172638-ID/otsustajad-kasusaajad","link")</f>
        <v>link</v>
      </c>
      <c r="G31" t="s">
        <v>285</v>
      </c>
      <c r="H31" t="s">
        <v>286</v>
      </c>
      <c r="I31" s="4" t="str">
        <f>HYPERLINK("https://laikabet.com/ ","link")</f>
        <v>link</v>
      </c>
      <c r="J31" t="s">
        <v>184</v>
      </c>
      <c r="K31" t="s">
        <v>287</v>
      </c>
      <c r="L31" t="s">
        <v>288</v>
      </c>
      <c r="M31" s="4" t="str">
        <f>HYPERLINK("https://ssb.ee/14172638-ID/meedia-arvamuslood","link")</f>
        <v>link</v>
      </c>
      <c r="N31" t="s">
        <v>289</v>
      </c>
      <c r="O31" s="5">
        <v>43353</v>
      </c>
      <c r="P31" t="s">
        <v>47</v>
      </c>
      <c r="Q31" s="6">
        <v>78300</v>
      </c>
      <c r="R31">
        <v>2021</v>
      </c>
      <c r="S31" s="7" t="s">
        <v>47</v>
      </c>
      <c r="T31" s="7" t="s">
        <v>47</v>
      </c>
      <c r="U31" s="7" t="s">
        <v>47</v>
      </c>
      <c r="V31">
        <v>0.01</v>
      </c>
      <c r="W31" s="8" t="s">
        <v>48</v>
      </c>
      <c r="X31" t="s">
        <v>49</v>
      </c>
      <c r="Y31" s="4" t="str">
        <f>HYPERLINK("https://ssb.ee/14172638-ID/kohustused-volad-kohtulahendid","link")</f>
        <v>link</v>
      </c>
      <c r="Z31">
        <v>2270</v>
      </c>
      <c r="AA31" s="4" t="str">
        <f>HYPERLINK("https://ssb.ee/14172638-ID/finantsid-varad-prognoosid","link")</f>
        <v>link</v>
      </c>
      <c r="AB31" s="6">
        <v>33606</v>
      </c>
      <c r="AC31" s="6">
        <v>15599</v>
      </c>
      <c r="AD31" s="6">
        <v>1125265</v>
      </c>
      <c r="AE31">
        <v>6</v>
      </c>
      <c r="AF31" s="6">
        <v>3225724</v>
      </c>
      <c r="AG31" s="6">
        <v>1690</v>
      </c>
      <c r="AH31" s="4" t="str">
        <f>HYPERLINK("https://ssb.ee/14172638-ID/tootajad-palgad","link")</f>
        <v>link</v>
      </c>
      <c r="AI31" t="s">
        <v>290</v>
      </c>
      <c r="AJ31">
        <v>0.192</v>
      </c>
      <c r="AK31" s="9" t="s">
        <v>51</v>
      </c>
      <c r="AL31" s="4" t="str">
        <f>HYPERLINK("https://ssb.ee/juhatuse-liikme-cv?id=1021936","link")</f>
        <v>link</v>
      </c>
    </row>
    <row r="32" spans="1:38">
      <c r="A32">
        <v>10303948</v>
      </c>
      <c r="B32" t="s">
        <v>291</v>
      </c>
      <c r="C32" s="3">
        <v>35723</v>
      </c>
      <c r="D32" t="s">
        <v>39</v>
      </c>
      <c r="E32" t="s">
        <v>115</v>
      </c>
      <c r="F32" s="4" t="str">
        <f>HYPERLINK("https://ssb.ee/10303948-ID/otsustajad-kasusaajad","link")</f>
        <v>link</v>
      </c>
      <c r="G32" t="s">
        <v>292</v>
      </c>
      <c r="H32" t="s">
        <v>293</v>
      </c>
      <c r="I32" s="4" t="str">
        <f>HYPERLINK("https://qvalitas.ee/ ","link")</f>
        <v>link</v>
      </c>
      <c r="J32" t="s">
        <v>134</v>
      </c>
      <c r="K32" t="s">
        <v>294</v>
      </c>
      <c r="L32" t="s">
        <v>295</v>
      </c>
      <c r="M32" s="4" t="str">
        <f>HYPERLINK("https://ssb.ee/10303948-ID/meedia-arvamuslood","link")</f>
        <v>link</v>
      </c>
      <c r="N32" t="s">
        <v>296</v>
      </c>
      <c r="O32" s="5">
        <v>34790</v>
      </c>
      <c r="P32" t="s">
        <v>47</v>
      </c>
      <c r="Q32" s="6">
        <v>98300</v>
      </c>
      <c r="R32">
        <v>2021</v>
      </c>
      <c r="S32" s="7" t="s">
        <v>47</v>
      </c>
      <c r="T32" s="7" t="s">
        <v>47</v>
      </c>
      <c r="U32" s="7" t="s">
        <v>47</v>
      </c>
      <c r="V32">
        <v>0.01</v>
      </c>
      <c r="W32" s="8" t="s">
        <v>48</v>
      </c>
      <c r="X32" t="s">
        <v>49</v>
      </c>
      <c r="Y32" s="4" t="str">
        <f>HYPERLINK("https://ssb.ee/10303948-ID/kohustused-volad-kohtulahendid","link")</f>
        <v>link</v>
      </c>
      <c r="Z32">
        <v>24360</v>
      </c>
      <c r="AA32" s="4" t="str">
        <f>HYPERLINK("https://ssb.ee/10303948-ID/finantsid-varad-prognoosid","link")</f>
        <v>link</v>
      </c>
      <c r="AB32" s="6">
        <v>682616</v>
      </c>
      <c r="AC32" s="6">
        <v>707948</v>
      </c>
      <c r="AD32" s="6">
        <v>83459</v>
      </c>
      <c r="AE32">
        <v>423</v>
      </c>
      <c r="AF32" s="6">
        <v>15003090</v>
      </c>
      <c r="AG32" s="6">
        <v>1170</v>
      </c>
      <c r="AH32" s="4" t="str">
        <f>HYPERLINK("https://ssb.ee/10303948-ID/tootajad-palgad","link")</f>
        <v>link</v>
      </c>
      <c r="AI32" t="s">
        <v>297</v>
      </c>
      <c r="AJ32">
        <v>0.14699999999999999</v>
      </c>
      <c r="AK32" s="9" t="s">
        <v>51</v>
      </c>
      <c r="AL32" s="4" t="str">
        <f>HYPERLINK("https://ssb.ee/juhatuse-liikme-cv?id=277568","link")</f>
        <v>link</v>
      </c>
    </row>
    <row r="33" spans="1:38">
      <c r="A33">
        <v>10771359</v>
      </c>
      <c r="B33" t="s">
        <v>298</v>
      </c>
      <c r="C33" s="3">
        <v>37040</v>
      </c>
      <c r="D33" t="s">
        <v>39</v>
      </c>
      <c r="E33" t="s">
        <v>299</v>
      </c>
      <c r="F33" s="4" t="str">
        <f>HYPERLINK("https://ssb.ee/10771359-ID/otsustajad-kasusaajad","link")</f>
        <v>link</v>
      </c>
      <c r="G33" t="s">
        <v>300</v>
      </c>
      <c r="H33" t="s">
        <v>301</v>
      </c>
      <c r="I33" s="4" t="str">
        <f>HYPERLINK("https://www.wiruauto.ee/","link")</f>
        <v>link</v>
      </c>
      <c r="J33" t="s">
        <v>43</v>
      </c>
      <c r="K33" t="s">
        <v>302</v>
      </c>
      <c r="L33" t="s">
        <v>303</v>
      </c>
      <c r="M33" s="4" t="str">
        <f>HYPERLINK("https://ssb.ee/10771359-ID/meedia-arvamuslood","link")</f>
        <v>link</v>
      </c>
      <c r="N33" t="s">
        <v>304</v>
      </c>
      <c r="O33" s="5">
        <v>37073</v>
      </c>
      <c r="P33" t="s">
        <v>47</v>
      </c>
      <c r="Q33" s="6">
        <v>78300</v>
      </c>
      <c r="R33">
        <v>2021</v>
      </c>
      <c r="S33" s="7" t="s">
        <v>47</v>
      </c>
      <c r="T33" s="7" t="s">
        <v>47</v>
      </c>
      <c r="U33" s="7" t="s">
        <v>47</v>
      </c>
      <c r="V33">
        <v>0.01</v>
      </c>
      <c r="W33" s="8" t="s">
        <v>48</v>
      </c>
      <c r="X33" t="s">
        <v>49</v>
      </c>
      <c r="Y33" s="4" t="str">
        <f>HYPERLINK("https://ssb.ee/10771359-ID/kohustused-volad-kohtulahendid","link")</f>
        <v>link</v>
      </c>
      <c r="Z33">
        <v>4290</v>
      </c>
      <c r="AA33" s="4" t="str">
        <f>HYPERLINK("https://ssb.ee/10771359-ID/finantsid-varad-prognoosid","link")</f>
        <v>link</v>
      </c>
      <c r="AB33" s="6">
        <v>64967</v>
      </c>
      <c r="AC33" s="6">
        <v>41541</v>
      </c>
      <c r="AD33" s="6">
        <v>1067446</v>
      </c>
      <c r="AE33">
        <v>18</v>
      </c>
      <c r="AF33" s="6">
        <v>3499358</v>
      </c>
      <c r="AG33" s="6">
        <v>1540</v>
      </c>
      <c r="AH33" s="4" t="str">
        <f>HYPERLINK("https://ssb.ee/10771359-ID/tootajad-palgad","link")</f>
        <v>link</v>
      </c>
      <c r="AI33" t="s">
        <v>305</v>
      </c>
      <c r="AJ33">
        <v>0.01</v>
      </c>
      <c r="AK33" s="8" t="s">
        <v>48</v>
      </c>
      <c r="AL33" s="4" t="str">
        <f>HYPERLINK("https://ssb.ee/juhatuse-liikme-cv?id=271550","link")</f>
        <v>link</v>
      </c>
    </row>
    <row r="34" spans="1:38">
      <c r="A34">
        <v>10221021</v>
      </c>
      <c r="B34" t="s">
        <v>306</v>
      </c>
      <c r="C34" s="3">
        <v>35598</v>
      </c>
      <c r="D34" t="s">
        <v>39</v>
      </c>
      <c r="E34" t="s">
        <v>307</v>
      </c>
      <c r="F34" s="4" t="str">
        <f>HYPERLINK("https://ssb.ee/10221021-ID/otsustajad-kasusaajad","link")</f>
        <v>link</v>
      </c>
      <c r="G34" t="s">
        <v>308</v>
      </c>
      <c r="H34" t="s">
        <v>309</v>
      </c>
      <c r="I34" s="4" t="str">
        <f>HYPERLINK("http://whirlpool.com ","link")</f>
        <v>link</v>
      </c>
      <c r="J34" t="s">
        <v>43</v>
      </c>
      <c r="K34" t="s">
        <v>310</v>
      </c>
      <c r="L34" t="s">
        <v>272</v>
      </c>
      <c r="M34" s="4" t="str">
        <f>HYPERLINK("https://ssb.ee/10221021-ID/meedia-arvamuslood","link")</f>
        <v>link</v>
      </c>
      <c r="N34" t="s">
        <v>311</v>
      </c>
      <c r="O34" s="5">
        <v>35704</v>
      </c>
      <c r="P34" t="s">
        <v>47</v>
      </c>
      <c r="Q34" s="6">
        <v>100000</v>
      </c>
      <c r="R34">
        <v>2021</v>
      </c>
      <c r="S34" s="7" t="s">
        <v>47</v>
      </c>
      <c r="T34" s="7" t="s">
        <v>47</v>
      </c>
      <c r="U34" s="7" t="s">
        <v>47</v>
      </c>
      <c r="V34">
        <v>0.01</v>
      </c>
      <c r="W34" s="8" t="s">
        <v>48</v>
      </c>
      <c r="X34" t="s">
        <v>49</v>
      </c>
      <c r="Y34" s="4" t="str">
        <f>HYPERLINK("https://ssb.ee/10221021-ID/kohustused-volad-kohtulahendid","link")</f>
        <v>link</v>
      </c>
      <c r="Z34">
        <v>7100</v>
      </c>
      <c r="AA34" s="4" t="str">
        <f>HYPERLINK("https://ssb.ee/10221021-ID/finantsid-varad-prognoosid","link")</f>
        <v>link</v>
      </c>
      <c r="AB34" s="6">
        <v>620091</v>
      </c>
      <c r="AC34" s="6">
        <v>166373</v>
      </c>
      <c r="AD34" s="6">
        <v>4558681</v>
      </c>
      <c r="AE34">
        <v>4</v>
      </c>
      <c r="AF34" s="6">
        <v>8669822</v>
      </c>
      <c r="AG34" s="6">
        <v>24470</v>
      </c>
      <c r="AH34" s="4" t="str">
        <f>HYPERLINK("https://ssb.ee/10221021-ID/tootajad-palgad","link")</f>
        <v>link</v>
      </c>
      <c r="AI34" t="s">
        <v>312</v>
      </c>
      <c r="AJ34">
        <v>0.01</v>
      </c>
      <c r="AK34" s="8" t="s">
        <v>48</v>
      </c>
      <c r="AL34" s="4" t="str">
        <f>HYPERLINK("https://ssb.ee/juhatuse-liikme-cv?id=2171578","link")</f>
        <v>link</v>
      </c>
    </row>
    <row r="35" spans="1:38">
      <c r="A35">
        <v>10088763</v>
      </c>
      <c r="B35" t="s">
        <v>313</v>
      </c>
      <c r="C35" s="3">
        <v>34820</v>
      </c>
      <c r="D35" t="s">
        <v>39</v>
      </c>
      <c r="E35" t="s">
        <v>314</v>
      </c>
      <c r="F35" s="4" t="str">
        <f>HYPERLINK("https://ssb.ee/10088763-ID/otsustajad-kasusaajad","link")</f>
        <v>link</v>
      </c>
      <c r="G35" t="s">
        <v>315</v>
      </c>
      <c r="H35" t="s">
        <v>316</v>
      </c>
      <c r="I35" s="4" t="str">
        <f>HYPERLINK("https://alistron.ee/","link")</f>
        <v>link</v>
      </c>
      <c r="J35" t="s">
        <v>83</v>
      </c>
      <c r="K35" t="s">
        <v>317</v>
      </c>
      <c r="L35" t="s">
        <v>318</v>
      </c>
      <c r="M35" s="4" t="str">
        <f>HYPERLINK("https://ssb.ee/10088763-ID/meedia-arvamuslood","link")</f>
        <v>link</v>
      </c>
      <c r="N35" t="s">
        <v>319</v>
      </c>
      <c r="O35" s="5">
        <v>34820</v>
      </c>
      <c r="P35" t="s">
        <v>47</v>
      </c>
      <c r="Q35" s="6">
        <v>92700</v>
      </c>
      <c r="R35">
        <v>2021</v>
      </c>
      <c r="S35" s="7" t="s">
        <v>47</v>
      </c>
      <c r="T35" s="7" t="s">
        <v>47</v>
      </c>
      <c r="U35" s="7" t="s">
        <v>47</v>
      </c>
      <c r="V35">
        <v>0.01</v>
      </c>
      <c r="W35" s="8" t="s">
        <v>48</v>
      </c>
      <c r="X35" t="s">
        <v>49</v>
      </c>
      <c r="Y35" s="4" t="str">
        <f>HYPERLINK("https://ssb.ee/10088763-ID/kohustused-volad-kohtulahendid","link")</f>
        <v>link</v>
      </c>
      <c r="Z35">
        <v>4850</v>
      </c>
      <c r="AA35" s="4" t="str">
        <f>HYPERLINK("https://ssb.ee/10088763-ID/finantsid-varad-prognoosid","link")</f>
        <v>link</v>
      </c>
      <c r="AB35" s="6">
        <v>72374</v>
      </c>
      <c r="AC35" s="6">
        <v>76791</v>
      </c>
      <c r="AD35" s="6">
        <v>1241241</v>
      </c>
      <c r="AE35">
        <v>28</v>
      </c>
      <c r="AF35" s="6">
        <v>4214548</v>
      </c>
      <c r="AG35" s="6">
        <v>1690</v>
      </c>
      <c r="AH35" s="4" t="str">
        <f>HYPERLINK("https://ssb.ee/10088763-ID/tootajad-palgad","link")</f>
        <v>link</v>
      </c>
      <c r="AI35" t="s">
        <v>320</v>
      </c>
      <c r="AJ35">
        <v>7.0000000000000001E-3</v>
      </c>
      <c r="AK35" s="8" t="s">
        <v>48</v>
      </c>
      <c r="AL35" s="4" t="str">
        <f>HYPERLINK("https://ssb.ee/juhatuse-liikme-cv?id=293244","link")</f>
        <v>link</v>
      </c>
    </row>
  </sheetData>
  <autoFilter ref="A1:AL35" xr:uid="{00000000-0009-0000-0000-000000000000}">
    <sortState xmlns:xlrd2="http://schemas.microsoft.com/office/spreadsheetml/2017/richdata2" ref="A2:AL35">
      <sortCondition descending="1" ref="I1:I35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Hendrik Väinaste</cp:lastModifiedBy>
  <cp:revision/>
  <dcterms:created xsi:type="dcterms:W3CDTF">2022-09-07T06:40:13Z</dcterms:created>
  <dcterms:modified xsi:type="dcterms:W3CDTF">2026-05-13T09:48:44Z</dcterms:modified>
  <cp:category/>
  <cp:contentStatus/>
</cp:coreProperties>
</file>